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145"/>
  </bookViews>
  <sheets>
    <sheet name="2017" sheetId="28" r:id="rId1"/>
    <sheet name="2018" sheetId="27" r:id="rId2"/>
    <sheet name="Sheet1" sheetId="29" r:id="rId3"/>
  </sheets>
  <definedNames>
    <definedName name="_xlnm._FilterDatabase" localSheetId="0" hidden="1">'2017'!$A$10:$Y$78</definedName>
    <definedName name="_xlnm.Print_Area" localSheetId="0">'2017'!$A$1:$S$95</definedName>
    <definedName name="_xlnm.Print_Area" localSheetId="1">'2018'!$A$1:$S$96</definedName>
    <definedName name="_xlnm.Print_Titles" localSheetId="0">'2017'!$2:$3</definedName>
    <definedName name="_xlnm.Print_Titles" localSheetId="1">'2018'!$1:$2</definedName>
  </definedNames>
  <calcPr calcId="144525"/>
</workbook>
</file>

<file path=xl/sharedStrings.xml><?xml version="1.0" encoding="utf-8"?>
<sst xmlns="http://schemas.openxmlformats.org/spreadsheetml/2006/main" count="213">
  <si>
    <t>附表3</t>
  </si>
  <si>
    <t>赣州市国省道三年行动计划路面大中修项目表（2017年）</t>
  </si>
  <si>
    <t>路线
编号</t>
  </si>
  <si>
    <t>原路线编码</t>
  </si>
  <si>
    <t>工程项目名称</t>
  </si>
  <si>
    <t>起点
桩号</t>
  </si>
  <si>
    <t>讫点
桩号</t>
  </si>
  <si>
    <t>实施里程
（km）</t>
  </si>
  <si>
    <t xml:space="preserve">技术
等级 </t>
  </si>
  <si>
    <t>路面
宽度</t>
  </si>
  <si>
    <t>原路面
类型</t>
  </si>
  <si>
    <t>建设性质（大修、中修、预防性）</t>
  </si>
  <si>
    <t>技术处治方案</t>
  </si>
  <si>
    <t>总投资
（万元）</t>
  </si>
  <si>
    <t>上级补助
（万元）</t>
  </si>
  <si>
    <t>地方配套
（万元）</t>
  </si>
  <si>
    <t>实施年份</t>
  </si>
  <si>
    <t>管养单位</t>
  </si>
  <si>
    <t>备注</t>
  </si>
  <si>
    <t>国道</t>
  </si>
  <si>
    <t>省道</t>
  </si>
  <si>
    <t>县乡道</t>
  </si>
  <si>
    <t>大修</t>
  </si>
  <si>
    <t>中修</t>
  </si>
  <si>
    <t>G220</t>
  </si>
  <si>
    <t>S230</t>
  </si>
  <si>
    <t>s</t>
  </si>
  <si>
    <t>东营－深圳</t>
  </si>
  <si>
    <t>三级</t>
  </si>
  <si>
    <t>沥青混凝土</t>
  </si>
  <si>
    <t>20CM水泥稳定碎石基层+下封层+6cmAC16中粒式沥青砼面层</t>
  </si>
  <si>
    <t>崇义分局</t>
  </si>
  <si>
    <t>2016年大中修</t>
  </si>
  <si>
    <t>G356</t>
  </si>
  <si>
    <t>S323</t>
  </si>
  <si>
    <t>湄洲-西昌</t>
  </si>
  <si>
    <t>二级</t>
  </si>
  <si>
    <t>（15cm+15cm）水泥稳定碎石基层+下封层+6cmAC16中粒式沥青砼+粘层+4cmAC13细粒式改性沥青砼面层</t>
  </si>
  <si>
    <t>石城分局</t>
  </si>
  <si>
    <t>挖除原路面结构，换填50cm碎石垫层，加铺（15cm+15cm）水泥稳定碎石基层+下封层+6cmAC16中粒式沥青砼+粘层+4cmAC13细粒式改性沥青砼面层</t>
  </si>
  <si>
    <t>G357</t>
  </si>
  <si>
    <t>S325</t>
  </si>
  <si>
    <t>东山－泸水</t>
  </si>
  <si>
    <t>水泥混凝土</t>
  </si>
  <si>
    <t>原水泥路面碎石化+（15cm+15cm）水泥稳定碎石基层+下封层+6cmAC16中粒式沥青砼+粘层+4cmAC13细粒式改性沥青砼面层</t>
  </si>
  <si>
    <t>会昌分局</t>
  </si>
  <si>
    <t>S324</t>
  </si>
  <si>
    <t>（15cm+15cm）水泥稳定碎石基层+下封层+6cmAC16中粒式改性沥青砼面层</t>
  </si>
  <si>
    <t>信丰分局</t>
  </si>
  <si>
    <t>S317</t>
  </si>
  <si>
    <t>金汾线</t>
  </si>
  <si>
    <t>老路面碎石化+20cm水泥稳定碎石基层+下封层+6cmAC16中粒式改性沥青砼</t>
  </si>
  <si>
    <t>S221</t>
  </si>
  <si>
    <t>X381</t>
  </si>
  <si>
    <t>x</t>
  </si>
  <si>
    <t>港口-东山</t>
  </si>
  <si>
    <t>上犹分局</t>
  </si>
  <si>
    <t>S226</t>
  </si>
  <si>
    <t>S219</t>
  </si>
  <si>
    <t>砂石-龙布</t>
  </si>
  <si>
    <t>现场取芯后按级配要求再生18cm水稳定碎石下基层+再铺16cm水稳碎石上基层+下封层+6cmAC16中粒式沥青砼面层</t>
  </si>
  <si>
    <t>赣县分局</t>
  </si>
  <si>
    <t>S448</t>
  </si>
  <si>
    <t>S216</t>
  </si>
  <si>
    <t>塘坊-固村</t>
  </si>
  <si>
    <t>一级</t>
  </si>
  <si>
    <t>老路面碎石化+20cm水泥稳定碎石下基层+8cm柔性基层+下封层+6cmAC16中粒式沥青砼+粘层+4cmAC13细粒式改性沥青砼面层</t>
  </si>
  <si>
    <t>宁都分局</t>
  </si>
  <si>
    <t>采用C15贫砼补强局部基层，然后更换4500平方米水泥砼面板。</t>
  </si>
  <si>
    <t>S450</t>
  </si>
  <si>
    <t>X794</t>
  </si>
  <si>
    <t>良村-高兴</t>
  </si>
  <si>
    <t>20cm水泥稳定碎石基层+下封层+6cmAC16中粒式沥青砼面层</t>
  </si>
  <si>
    <t>兴国分局</t>
  </si>
  <si>
    <t>S547</t>
  </si>
  <si>
    <t>X380</t>
  </si>
  <si>
    <t>营前-五指峰</t>
  </si>
  <si>
    <t>S549</t>
  </si>
  <si>
    <t>S327</t>
  </si>
  <si>
    <t>城厢-南迳</t>
  </si>
  <si>
    <t>原水泥砼路面碎石化+（17cm+17cm）水泥稳定碎石基层+下封层+6cmAC16中粒式沥青砼+粘层+4cmAC13细粒式改性沥青砼面层</t>
  </si>
  <si>
    <t>全南分局</t>
  </si>
  <si>
    <t>G238</t>
  </si>
  <si>
    <t>S223</t>
  </si>
  <si>
    <t>437.935
459
466.4
466.889
468.483</t>
  </si>
  <si>
    <t>441.191
461.037
466.889
468.483
468.55</t>
  </si>
  <si>
    <t>沥青</t>
  </si>
  <si>
    <t>挖除原路面结构（26cm）+（15+15）cm水泥稳定碎石基层+下封层+6cmA16中粒式沥青砼面层+粘层+4cmAC13细粒式改性沥青砼面层</t>
  </si>
  <si>
    <t>17年灾毁已下达</t>
  </si>
  <si>
    <t>S453</t>
  </si>
  <si>
    <t>X450</t>
  </si>
  <si>
    <t>水泥</t>
  </si>
  <si>
    <t>20cm水泥稳定碎石基层+下封层+6cmAC16中粒式沥青砼面层 。增设浆砌片石水沟3000立方米，增设盖板水沟2600立方米，增设浆砌片石挡墙450立方米。</t>
  </si>
  <si>
    <t>于都分局</t>
  </si>
  <si>
    <t>43.2
53</t>
  </si>
  <si>
    <t>44.9
61.807</t>
  </si>
  <si>
    <t>（15+15）cm水泥稳定碎石基层+下封层+6cmA16中粒式沥青砼面层+粘层+4cmAC13细粒式改性沥青砼面层</t>
  </si>
  <si>
    <t>短链路段其实为6.1公里
17年灾毁已下达</t>
  </si>
  <si>
    <t>62.979
64.8
66.8
73.5
63.5
65.8
71.6
76.6</t>
  </si>
  <si>
    <t>63.5
65.8
71.6
76.6
64.8
66.8
73.5
80</t>
  </si>
  <si>
    <t>原水泥路面碎石化+（15cm+15cm）水稳碎石基层+下封层+6cmAC16中粒式沥青砼下面层+4cmAC13细粒式改性沥青砼上面层</t>
  </si>
  <si>
    <t>定南分局</t>
  </si>
  <si>
    <t>S452</t>
  </si>
  <si>
    <t>X459</t>
  </si>
  <si>
    <t>20cm水泥稳定碎石基层+下下封层+6cmAC16中粒式沥青砼面层。增设浆砌片石水沟89立方米，增设浆砌片石挡墙270立方米。</t>
  </si>
  <si>
    <t>S454</t>
  </si>
  <si>
    <t>X420</t>
  </si>
  <si>
    <t>20cm水泥碎石基层+下封层+6cm沥青砼面层</t>
  </si>
  <si>
    <t>G358</t>
  </si>
  <si>
    <t>寻乌蛇子岭至蓑衣坳</t>
  </si>
  <si>
    <t>沥青砼</t>
  </si>
  <si>
    <t>（15cm+15cm）水泥稳定碎石基层+下封层+5cmAC16中粒式沥青砼+粘层+4cmAC13细粒式改性沥青砼面层</t>
  </si>
  <si>
    <t>寻乌分局</t>
  </si>
  <si>
    <t>2017年路面改造</t>
  </si>
  <si>
    <t>20cm水稳碎石+26cm水泥砼路面</t>
  </si>
  <si>
    <t>碎石化+20cm水稳碎石+26cm水泥砼路面</t>
  </si>
  <si>
    <t>G535</t>
  </si>
  <si>
    <t>G535龙南县渡江至程龙段路面改造工程</t>
  </si>
  <si>
    <t>（16cm+16cm）水泥稳定碎石基层+下封层+6cmAC16中粒式沥青砼+粘层+4cmAC13细粒式改性沥青砼面层</t>
  </si>
  <si>
    <t>龙南分局</t>
  </si>
  <si>
    <t>S326</t>
  </si>
  <si>
    <t>G535全南樟木迳至吊兰寨路面改建工程</t>
  </si>
  <si>
    <t>（15+15cm）水泥稳定碎石基层+下封层+6cmAC16中粒式沥青砼面层</t>
  </si>
  <si>
    <t>争取17年计划</t>
  </si>
  <si>
    <t>G323</t>
  </si>
  <si>
    <t>g</t>
  </si>
  <si>
    <t>水泥砼</t>
  </si>
  <si>
    <t>碎石化+（15cm+15cm）水泥稳定碎石基层+下封层+6cmAC16中粒式沥青砼+粘层+4cmAC13细粒式改性沥青砼面层。</t>
  </si>
  <si>
    <t>大余分局</t>
  </si>
  <si>
    <t>高速公路损毁恢复</t>
  </si>
  <si>
    <t>G206</t>
  </si>
  <si>
    <t>碎石化+（15cm+15cm）水泥稳定碎石基层+下封层+6cmAC16中粒式沥青砼+粘层+4cmAC13细粒式改性沥青砼面层</t>
  </si>
  <si>
    <t>G105</t>
  </si>
  <si>
    <t>2262.400</t>
  </si>
  <si>
    <t>2265.487</t>
  </si>
  <si>
    <t>2267.018</t>
  </si>
  <si>
    <t>2272.200</t>
  </si>
  <si>
    <t>2277.700</t>
  </si>
  <si>
    <t>2281.150</t>
  </si>
  <si>
    <t>南康分局</t>
  </si>
  <si>
    <t>G319</t>
  </si>
  <si>
    <t xml:space="preserve">（15cm+15cm）水稳碎石基层+下封层+6cmAC16中粒式沥青砼下面层+4cmAC13细粒式改性沥青砼上面层。新建浆砌片石挡土墙1980M3。
</t>
  </si>
  <si>
    <t>17年灾毁已入库未下达</t>
  </si>
  <si>
    <t>S451</t>
  </si>
  <si>
    <t>坑槽等病害</t>
  </si>
  <si>
    <t>原路面上做（18cm+16cm）水泥稳定碎石基层+下封层+6cmAC16中粒式沥青砼+粘层+4cmAC13细粒式改性沥青砼+标线</t>
  </si>
  <si>
    <t>1895.715</t>
  </si>
  <si>
    <t>瑞金分局</t>
  </si>
  <si>
    <t>1920.600</t>
  </si>
  <si>
    <t>1922.600</t>
  </si>
  <si>
    <t>S316</t>
  </si>
  <si>
    <t>X369</t>
  </si>
  <si>
    <t>原水泥路面碎石化+20cm水泥稳定碎石基层+下封层+6cmAC16中粒式沥青砼</t>
  </si>
  <si>
    <t>X363</t>
  </si>
  <si>
    <t>X368</t>
  </si>
  <si>
    <t>566.162</t>
  </si>
  <si>
    <t>S449</t>
  </si>
  <si>
    <t>X429</t>
  </si>
  <si>
    <t>20cm水泥稳定碎石基层+下封层+6cmAC16中粒式沥青砼</t>
  </si>
  <si>
    <t>20cm水泥稳定碎石基层+下封层+6cmAC16中粒式沥青砼面层。</t>
  </si>
  <si>
    <t>原路面碎石化+20cm水泥稳定碎石基层+下封层+6cmAC16中粒式沥青砼面层。</t>
  </si>
  <si>
    <t>2123.000</t>
  </si>
  <si>
    <t>2126.895</t>
  </si>
  <si>
    <t>直属分局</t>
  </si>
  <si>
    <t>2128.311</t>
  </si>
  <si>
    <t>2129.046</t>
  </si>
  <si>
    <t>（18cm+15cm）水泥稳定碎石基层+下封层+6cmAC16中粒式沥青砼+粘层+4cmAC13细粒式改性沥青砼面层</t>
  </si>
  <si>
    <t>冷再生25cm水泥碎石稳定基层+下封层+6cmAC16中粒式沥青砼+粘层+4cmAC13细粒式改性沥青砼面层</t>
  </si>
  <si>
    <t>碎石化+（18cm+15cm）水泥稳定碎石基层+下封层+6cmAC16中粒式沥青砼+粘层+4cmAC13细粒式改性沥青砼面层</t>
  </si>
  <si>
    <t>赣州市普通国省道三年行动计划路面大中修项目表（2018年）</t>
  </si>
  <si>
    <t>新路网起点桩号</t>
  </si>
  <si>
    <t>新路网终点桩号</t>
  </si>
  <si>
    <t>PQI</t>
  </si>
  <si>
    <t>（15cm+15cm）水泥稳定碎石基层+下封层+6cmAC16中粒式沥青砼+粘层+4cmAC13细粒式改性沥青砼面层。</t>
  </si>
  <si>
    <t>安远分局</t>
  </si>
  <si>
    <t>原水泥路面碎石化+（15cm+15cm）水泥稳定碎石基层+下封层+6cmAC16中粒式沥青砼+粘层+4cmAC13细粒式改性沥青砼面层。</t>
  </si>
  <si>
    <t>争取18年计划</t>
  </si>
  <si>
    <t>（15cm+15cm）水稳碎石基层+下封层+6cmAC16中粒式沥青砼下面层+4cmAC13细粒式改性沥青砼上面层</t>
  </si>
  <si>
    <t>中修打板2000㎡</t>
  </si>
  <si>
    <t>2299.750</t>
  </si>
  <si>
    <t>2311.461</t>
  </si>
  <si>
    <t>X519</t>
  </si>
  <si>
    <t>（15cm+15cm）水稳碎石基层+下封层+6cmAC16中粒式沥青砼下面层+4cmAC13细粒式改性沥青砼上面层。左右侧浆砌片石盖板水沟1200M。</t>
  </si>
  <si>
    <t>（15cm+15cm）水稳碎石基层+下封层+6cmAC16中粒式沥青砼下面层+4cmAC13细粒式改性沥青砼上面层。左右侧浆砌片石盖板水沟500M。</t>
  </si>
  <si>
    <t xml:space="preserve">（15cm+15cm）水稳碎石基层+下封层+6cmAC16中粒式沥青砼下面层+4cmAC13细粒式改性沥青砼上面层
</t>
  </si>
  <si>
    <t>447.600</t>
  </si>
  <si>
    <t>448.040</t>
  </si>
  <si>
    <t>454.769</t>
  </si>
  <si>
    <t>457.090</t>
  </si>
  <si>
    <t>459.073</t>
  </si>
  <si>
    <t>461.768</t>
  </si>
  <si>
    <t>466.300</t>
  </si>
  <si>
    <t>466.927</t>
  </si>
  <si>
    <t>1886.325</t>
  </si>
  <si>
    <t>G236</t>
  </si>
  <si>
    <t>挖补3800㎡+（15cm+15cm）水泥稳定碎石基层+下封层+6cmAC16中粒式沥青砼+粘层+4cmAC13细粒式改性沥青砼面层</t>
  </si>
  <si>
    <t>碎石化+（15cm+15cm）水泥稳定碎石基层+下封层+6cmAC16中粒式沥青砼面层</t>
  </si>
  <si>
    <t>碎石化+（15cm+15cm）水泥稳定碎石基层+下封层+6cmAC16中粒式粒式沥青砼面层</t>
  </si>
  <si>
    <t>557.400</t>
  </si>
  <si>
    <t>20cm水泥稳定碎石基层+下封层+6cmAC16中粒式沥青砼面层。增设浆砌片石挡墙425立方米。</t>
  </si>
  <si>
    <t>2020.300</t>
  </si>
  <si>
    <t>X483</t>
  </si>
  <si>
    <t>S458</t>
  </si>
  <si>
    <t>X401</t>
  </si>
  <si>
    <t>X482</t>
  </si>
  <si>
    <t>四级</t>
  </si>
  <si>
    <t>X484</t>
  </si>
  <si>
    <t>X485</t>
  </si>
  <si>
    <t>碎石化+调平层+（15cm+15cm）水泥稳定碎石基层+下封层+6cmAC16中粒式沥青砼+粘层+4cmAC13细粒式改性沥青砼面层</t>
  </si>
  <si>
    <t>d</t>
  </si>
  <si>
    <t>b</t>
  </si>
  <si>
    <t>c</t>
  </si>
  <si>
    <t>a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</si>
</sst>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_);[Red]\(0\)"/>
    <numFmt numFmtId="178" formatCode="0.000_ "/>
    <numFmt numFmtId="179" formatCode="0.000_);[Red]\(0.000\)"/>
    <numFmt numFmtId="180" formatCode="0.0_ ;[Red]\-0.0\ "/>
    <numFmt numFmtId="181" formatCode="0.000_ ;[Red]\-0.000\ "/>
    <numFmt numFmtId="182" formatCode="0_ ;[Red]\-0\ "/>
    <numFmt numFmtId="183" formatCode="0.00_ ;[Red]\-0.00\ "/>
    <numFmt numFmtId="184" formatCode="0.0_ "/>
  </numFmts>
  <fonts count="4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Helv"/>
      <charset val="134"/>
    </font>
    <font>
      <sz val="10"/>
      <color indexed="10"/>
      <name val="宋体"/>
      <charset val="134"/>
    </font>
    <font>
      <b/>
      <sz val="11"/>
      <name val="宋体"/>
      <charset val="134"/>
    </font>
    <font>
      <sz val="16"/>
      <name val="黑体"/>
      <charset val="134"/>
    </font>
    <font>
      <u/>
      <sz val="16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Arial"/>
      <charset val="134"/>
    </font>
    <font>
      <sz val="12"/>
      <name val="Arial"/>
      <charset val="134"/>
    </font>
    <font>
      <sz val="11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2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7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9" borderId="14" applyNumberFormat="0" applyFont="0" applyAlignment="0" applyProtection="0">
      <alignment vertical="center"/>
    </xf>
    <xf numFmtId="0" fontId="28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28" fillId="0" borderId="0"/>
    <xf numFmtId="0" fontId="20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4" fillId="0" borderId="0"/>
    <xf numFmtId="0" fontId="17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/>
    <xf numFmtId="0" fontId="17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28" fillId="0" borderId="0">
      <alignment vertical="center"/>
    </xf>
    <xf numFmtId="0" fontId="34" fillId="0" borderId="0"/>
    <xf numFmtId="0" fontId="28" fillId="0" borderId="0">
      <alignment vertical="center"/>
    </xf>
    <xf numFmtId="0" fontId="34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0" borderId="0"/>
  </cellStyleXfs>
  <cellXfs count="147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wrapText="1"/>
    </xf>
    <xf numFmtId="182" fontId="1" fillId="2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 wrapText="1" shrinkToFit="1"/>
    </xf>
    <xf numFmtId="179" fontId="12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3" fontId="3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182" fontId="3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/>
    </xf>
    <xf numFmtId="182" fontId="3" fillId="0" borderId="1" xfId="53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 wrapText="1"/>
    </xf>
    <xf numFmtId="180" fontId="9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9" fontId="6" fillId="3" borderId="0" xfId="0" applyNumberFormat="1" applyFont="1" applyFill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79" fontId="9" fillId="3" borderId="5" xfId="0" applyNumberFormat="1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179" fontId="11" fillId="3" borderId="1" xfId="0" applyNumberFormat="1" applyFont="1" applyFill="1" applyBorder="1" applyAlignment="1">
      <alignment horizontal="center" vertical="center" wrapText="1" shrinkToFit="1"/>
    </xf>
    <xf numFmtId="179" fontId="12" fillId="3" borderId="1" xfId="0" applyNumberFormat="1" applyFont="1" applyFill="1" applyBorder="1" applyAlignment="1">
      <alignment horizontal="center" vertical="center"/>
    </xf>
    <xf numFmtId="179" fontId="10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9" fontId="3" fillId="3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179" fontId="3" fillId="3" borderId="3" xfId="0" applyNumberFormat="1" applyFont="1" applyFill="1" applyBorder="1" applyAlignment="1">
      <alignment horizontal="center" vertical="center"/>
    </xf>
    <xf numFmtId="179" fontId="3" fillId="3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/>
    <xf numFmtId="180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82" fontId="3" fillId="3" borderId="1" xfId="0" applyNumberFormat="1" applyFont="1" applyFill="1" applyBorder="1" applyAlignment="1">
      <alignment horizontal="center" vertical="center" wrapText="1"/>
    </xf>
    <xf numFmtId="182" fontId="3" fillId="3" borderId="1" xfId="53" applyNumberFormat="1" applyFont="1" applyFill="1" applyBorder="1" applyAlignment="1">
      <alignment horizontal="center" vertical="center" wrapText="1"/>
    </xf>
    <xf numFmtId="182" fontId="3" fillId="3" borderId="1" xfId="0" applyNumberFormat="1" applyFont="1" applyFill="1" applyBorder="1" applyAlignment="1">
      <alignment horizontal="center" vertical="center"/>
    </xf>
    <xf numFmtId="184" fontId="3" fillId="3" borderId="1" xfId="0" applyNumberFormat="1" applyFont="1" applyFill="1" applyBorder="1" applyAlignment="1">
      <alignment horizontal="center" vertical="center" wrapText="1"/>
    </xf>
    <xf numFmtId="177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77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80" fontId="9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81" fontId="3" fillId="3" borderId="1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/>
    </xf>
    <xf numFmtId="179" fontId="6" fillId="3" borderId="0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常规 4_12.12排序17年以后需大中修路段" xfId="43"/>
    <cellStyle name="强调文字颜色 4" xfId="44" builtinId="41"/>
    <cellStyle name="20% - 强调文字颜色 4" xfId="45" builtinId="42"/>
    <cellStyle name="40% - 强调文字颜色 4" xfId="46" builtinId="43"/>
    <cellStyle name="常规 60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2" xfId="57"/>
    <cellStyle name="常规 2 2 10 2" xfId="58"/>
    <cellStyle name="常规 2_12.12排序17年以后需大中修路段" xfId="59"/>
    <cellStyle name="常规 3" xfId="60"/>
    <cellStyle name="常规 4" xfId="61"/>
    <cellStyle name="常规 4 2" xfId="62"/>
    <cellStyle name="常规 4 3" xfId="63"/>
    <cellStyle name="常规 5" xfId="64"/>
    <cellStyle name="好_12.12排序17年以后需大中修路段" xfId="65"/>
    <cellStyle name="好_17年以后需大中修路段" xfId="66"/>
    <cellStyle name="好_附表：2016年江西省普通国省道养护大中修建议计划表（附表1-附表4格式）" xfId="67"/>
    <cellStyle name="好_赣州市公路局3年大中修计划项目库(报财政)2" xfId="68"/>
    <cellStyle name="好_国道最后版本17：00" xfId="69"/>
    <cellStyle name="好_未插入行的国道最后版本" xfId="70"/>
    <cellStyle name="普通_活用表_亿元表" xfId="7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6"/>
  <sheetViews>
    <sheetView tabSelected="1" view="pageBreakPreview" zoomScale="50" zoomScaleNormal="75" zoomScaleSheetLayoutView="50" workbookViewId="0">
      <selection activeCell="H87" sqref="H87"/>
    </sheetView>
  </sheetViews>
  <sheetFormatPr defaultColWidth="9" defaultRowHeight="13.5"/>
  <cols>
    <col min="1" max="2" width="6.125" style="80" customWidth="1"/>
    <col min="3" max="3" width="6" style="80" customWidth="1"/>
    <col min="4" max="4" width="4.125" style="80" hidden="1" customWidth="1"/>
    <col min="5" max="5" width="10.25" style="80" customWidth="1"/>
    <col min="6" max="6" width="10.75" style="81" customWidth="1"/>
    <col min="7" max="7" width="11" style="81" customWidth="1"/>
    <col min="8" max="8" width="10.375" style="81" customWidth="1"/>
    <col min="9" max="9" width="5.25" style="80" customWidth="1"/>
    <col min="10" max="10" width="6" style="82" customWidth="1"/>
    <col min="11" max="11" width="9" style="80"/>
    <col min="12" max="12" width="8.5" style="80" customWidth="1"/>
    <col min="13" max="13" width="38.75" style="80" customWidth="1"/>
    <col min="14" max="14" width="12" style="80" customWidth="1"/>
    <col min="15" max="16" width="9.75" style="80" customWidth="1"/>
    <col min="17" max="17" width="8.625" style="80" customWidth="1"/>
    <col min="18" max="18" width="8.5" style="80" customWidth="1"/>
    <col min="19" max="19" width="18.75" style="83" customWidth="1"/>
    <col min="20" max="25" width="10.625" style="80" customWidth="1"/>
    <col min="26" max="16384" width="9" style="80"/>
  </cols>
  <sheetData>
    <row r="1" ht="23.25" customHeight="1" spans="1:1">
      <c r="A1" s="84" t="s">
        <v>0</v>
      </c>
    </row>
    <row r="2" ht="39" customHeight="1" spans="1:19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ht="69" customHeight="1" spans="1:19">
      <c r="A3" s="87"/>
      <c r="B3" s="88" t="s">
        <v>2</v>
      </c>
      <c r="C3" s="89" t="s">
        <v>3</v>
      </c>
      <c r="D3" s="89"/>
      <c r="E3" s="89" t="s">
        <v>4</v>
      </c>
      <c r="F3" s="90" t="s">
        <v>5</v>
      </c>
      <c r="G3" s="90" t="s">
        <v>6</v>
      </c>
      <c r="H3" s="90" t="s">
        <v>7</v>
      </c>
      <c r="I3" s="117" t="s">
        <v>8</v>
      </c>
      <c r="J3" s="118" t="s">
        <v>9</v>
      </c>
      <c r="K3" s="89" t="s">
        <v>10</v>
      </c>
      <c r="L3" s="119" t="s">
        <v>11</v>
      </c>
      <c r="M3" s="89" t="s">
        <v>12</v>
      </c>
      <c r="N3" s="89" t="s">
        <v>13</v>
      </c>
      <c r="O3" s="89" t="s">
        <v>14</v>
      </c>
      <c r="P3" s="89" t="s">
        <v>15</v>
      </c>
      <c r="Q3" s="135" t="s">
        <v>16</v>
      </c>
      <c r="R3" s="88" t="s">
        <v>17</v>
      </c>
      <c r="S3" s="88" t="s">
        <v>18</v>
      </c>
    </row>
    <row r="4" ht="27.75" customHeight="1" spans="1:19">
      <c r="A4" s="87"/>
      <c r="B4" s="91"/>
      <c r="C4" s="91"/>
      <c r="D4" s="91"/>
      <c r="E4" s="91"/>
      <c r="F4" s="92">
        <v>2017</v>
      </c>
      <c r="G4" s="93"/>
      <c r="H4" s="94">
        <f>SUMIF($Q$10:$Q$96,"2017",$H$10:$H$96)</f>
        <v>412.936</v>
      </c>
      <c r="J4" s="120"/>
      <c r="K4" s="87"/>
      <c r="L4" s="87"/>
      <c r="M4" s="120"/>
      <c r="N4" s="121">
        <f>SUMIF($Q$10:$Q$96,"2017",$N$10:$N$96)</f>
        <v>93800.383355</v>
      </c>
      <c r="O4" s="122">
        <f>SUMIF($Q$10:$Q$96,"2017",$O$10:$O$96)</f>
        <v>65199.81808</v>
      </c>
      <c r="P4" s="122">
        <f>SUMIF($Q$10:$Q$96,"2017",$P$10:$P$96)</f>
        <v>28600.565275</v>
      </c>
      <c r="Q4" s="92"/>
      <c r="R4" s="87"/>
      <c r="S4" s="87"/>
    </row>
    <row r="5" ht="27.75" customHeight="1" spans="1:19">
      <c r="A5" s="87"/>
      <c r="B5" s="91"/>
      <c r="C5" s="91"/>
      <c r="D5" s="91"/>
      <c r="E5" s="91"/>
      <c r="F5" s="95"/>
      <c r="G5" s="93" t="s">
        <v>19</v>
      </c>
      <c r="H5" s="94">
        <f>SUMPRODUCT(($Q$10:$Q$96=2017)*($D$10:$D$96="g")*($H$10:$H$96))</f>
        <v>87.2309999999999</v>
      </c>
      <c r="I5" s="87"/>
      <c r="J5" s="120"/>
      <c r="K5" s="123"/>
      <c r="L5" s="87"/>
      <c r="M5" s="120"/>
      <c r="N5" s="121">
        <f>SUMPRODUCT(($Q$10:$Q$96=2017)*($D$10:$D$96="g")*($N$10:$N$96))</f>
        <v>24452.6748</v>
      </c>
      <c r="O5" s="122">
        <f>SUMPRODUCT(($Q$10:$Q$96=2017)*($D$10:$D$96="g")*($O$10:$O$96))</f>
        <v>20091.1248</v>
      </c>
      <c r="P5" s="122">
        <f>SUMPRODUCT(($Q$10:$Q$96=2017)*($D$10:$D$96="g")*($P$10:$P$96))</f>
        <v>4361.54999999999</v>
      </c>
      <c r="Q5" s="92"/>
      <c r="R5" s="87"/>
      <c r="S5" s="87"/>
    </row>
    <row r="6" ht="27.75" customHeight="1" spans="1:19">
      <c r="A6" s="87"/>
      <c r="B6" s="91"/>
      <c r="C6" s="91"/>
      <c r="D6" s="91"/>
      <c r="E6" s="91"/>
      <c r="F6" s="95"/>
      <c r="G6" s="93" t="s">
        <v>20</v>
      </c>
      <c r="H6" s="94">
        <f>SUMPRODUCT(($Q$10:$Q$96=2017)*($D$10:$D$96="s")*($H$10:$H$96))</f>
        <v>223.887</v>
      </c>
      <c r="I6" s="87"/>
      <c r="J6" s="120"/>
      <c r="K6" s="87"/>
      <c r="L6" s="87"/>
      <c r="M6" s="120"/>
      <c r="N6" s="121">
        <f>SUMPRODUCT(($Q$10:$Q$96=2017)*($D$10:$D$96="s")*($N$10:$N$96))</f>
        <v>53293.397755</v>
      </c>
      <c r="O6" s="122">
        <f>SUMPRODUCT(($Q$10:$Q$96=2017)*($D$10:$D$96="s")*($O$10:$O$96))</f>
        <v>36944.88248</v>
      </c>
      <c r="P6" s="122">
        <f>SUMPRODUCT(($Q$10:$Q$96=2017)*($D$10:$D$96="s")*($P$10:$P$96))</f>
        <v>16348.515275</v>
      </c>
      <c r="Q6" s="92"/>
      <c r="R6" s="87"/>
      <c r="S6" s="87"/>
    </row>
    <row r="7" ht="27.75" customHeight="1" spans="1:19">
      <c r="A7" s="87"/>
      <c r="B7" s="91"/>
      <c r="C7" s="91"/>
      <c r="D7" s="91"/>
      <c r="E7" s="91"/>
      <c r="F7" s="95"/>
      <c r="G7" s="93" t="s">
        <v>21</v>
      </c>
      <c r="H7" s="94">
        <f>SUMPRODUCT(($Q$10:$Q$96=2017)*($D$10:$D$96="x")*($H$10:$H$96))</f>
        <v>101.818</v>
      </c>
      <c r="I7" s="87"/>
      <c r="J7" s="120"/>
      <c r="K7" s="87"/>
      <c r="L7" s="87"/>
      <c r="M7" s="120"/>
      <c r="N7" s="121">
        <f>SUMPRODUCT(($Q$10:$Q$96=2017)*($D$10:$D$96="x")*($N$10:$N$96))</f>
        <v>16054.3108</v>
      </c>
      <c r="O7" s="122">
        <f>SUMPRODUCT(($Q$10:$Q$96=2017)*($D$10:$D$96="x")*($O$10:$O$96))</f>
        <v>8163.8108</v>
      </c>
      <c r="P7" s="122">
        <f>SUMPRODUCT(($Q$10:$Q$96=2017)*($D$10:$D$96="x")*($P$10:$P$96))</f>
        <v>7890.5</v>
      </c>
      <c r="Q7" s="92"/>
      <c r="R7" s="87"/>
      <c r="S7" s="87"/>
    </row>
    <row r="8" ht="27.75" customHeight="1" spans="1:19">
      <c r="A8" s="87"/>
      <c r="B8" s="91"/>
      <c r="C8" s="91"/>
      <c r="D8" s="91"/>
      <c r="E8" s="91"/>
      <c r="F8" s="95"/>
      <c r="G8" s="93" t="s">
        <v>22</v>
      </c>
      <c r="H8" s="94">
        <f>SUMPRODUCT(($Q$10:$Q$96=2017)*($L$10:$L$96="大修")*($H$10:$H$96))</f>
        <v>397.019</v>
      </c>
      <c r="I8" s="87"/>
      <c r="J8" s="120"/>
      <c r="K8" s="87"/>
      <c r="L8" s="87"/>
      <c r="M8" s="120"/>
      <c r="N8" s="121">
        <f>SUMPRODUCT(($Q$10:$Q$96=2017)*($L$10:$L$96="大修")*($N$10:$N$96))</f>
        <v>90188.05698</v>
      </c>
      <c r="O8" s="122">
        <f>SUMPRODUCT(($Q$10:$Q$96=2017)*($L$10:$L$96="大修")*($O$10:$O$96))</f>
        <v>62740.15698</v>
      </c>
      <c r="P8" s="122">
        <f>SUMPRODUCT(($Q$10:$Q$96=2017)*($L$10:$L$96="大修")*($P$10:$P$96))</f>
        <v>27447.9</v>
      </c>
      <c r="Q8" s="92"/>
      <c r="R8" s="87"/>
      <c r="S8" s="87"/>
    </row>
    <row r="9" ht="27.75" customHeight="1" spans="1:19">
      <c r="A9" s="87"/>
      <c r="B9" s="91"/>
      <c r="C9" s="91"/>
      <c r="D9" s="91"/>
      <c r="E9" s="91"/>
      <c r="F9" s="95"/>
      <c r="G9" s="93" t="s">
        <v>23</v>
      </c>
      <c r="H9" s="94">
        <f>SUMPRODUCT(($Q$10:$Q$96=2017)*($L$10:$L$96="中修")*($H$10:$H$96))</f>
        <v>9.8</v>
      </c>
      <c r="I9" s="87"/>
      <c r="J9" s="120"/>
      <c r="K9" s="87"/>
      <c r="L9" s="87"/>
      <c r="M9" s="120"/>
      <c r="N9" s="121">
        <f>SUMPRODUCT(($Q$10:$Q$96=2017)*($L$10:$L$96="中修")*($N$10:$N$96))</f>
        <v>2249</v>
      </c>
      <c r="O9" s="122">
        <f>SUMPRODUCT(($Q$10:$Q$96=2017)*($L$10:$L$96="中修")*($O$10:$O$96))</f>
        <v>1369</v>
      </c>
      <c r="P9" s="122">
        <f>SUMPRODUCT(($Q$10:$Q$96=2017)*($L$10:$L$96="中修")*($P$10:$P$96))</f>
        <v>880</v>
      </c>
      <c r="Q9" s="92"/>
      <c r="R9" s="87"/>
      <c r="S9" s="87"/>
    </row>
    <row r="10" ht="34" customHeight="1" spans="1:19">
      <c r="A10" s="87">
        <v>1</v>
      </c>
      <c r="B10" s="96" t="s">
        <v>24</v>
      </c>
      <c r="C10" s="96" t="s">
        <v>25</v>
      </c>
      <c r="D10" s="96" t="s">
        <v>26</v>
      </c>
      <c r="E10" s="96" t="s">
        <v>27</v>
      </c>
      <c r="F10" s="97">
        <v>244.187</v>
      </c>
      <c r="G10" s="97">
        <v>254.339</v>
      </c>
      <c r="H10" s="97">
        <f t="shared" ref="H10:H44" si="0">G10-F10</f>
        <v>10.152</v>
      </c>
      <c r="I10" s="96" t="s">
        <v>28</v>
      </c>
      <c r="J10" s="124">
        <v>7</v>
      </c>
      <c r="K10" s="96" t="s">
        <v>29</v>
      </c>
      <c r="L10" s="125" t="s">
        <v>22</v>
      </c>
      <c r="M10" s="96" t="s">
        <v>30</v>
      </c>
      <c r="N10" s="126">
        <f t="shared" ref="N10:N41" si="1">O10+P10</f>
        <v>1349.2008</v>
      </c>
      <c r="O10" s="127">
        <f>$H10*$J10*0.1*(0.2*200+8+0.06*1150)+$H10</f>
        <v>841.600799999999</v>
      </c>
      <c r="P10" s="128">
        <f t="shared" ref="P10:P44" si="2">50*H10</f>
        <v>507.599999999999</v>
      </c>
      <c r="Q10" s="114">
        <v>2017</v>
      </c>
      <c r="R10" s="96" t="s">
        <v>31</v>
      </c>
      <c r="S10" s="114" t="s">
        <v>32</v>
      </c>
    </row>
    <row r="11" ht="48" customHeight="1" spans="1:19">
      <c r="A11" s="98">
        <v>2</v>
      </c>
      <c r="B11" s="96" t="s">
        <v>33</v>
      </c>
      <c r="C11" s="96" t="s">
        <v>34</v>
      </c>
      <c r="D11" s="96" t="s">
        <v>26</v>
      </c>
      <c r="E11" s="96" t="s">
        <v>35</v>
      </c>
      <c r="F11" s="97">
        <v>0</v>
      </c>
      <c r="G11" s="97">
        <v>2.3</v>
      </c>
      <c r="H11" s="97">
        <f t="shared" si="0"/>
        <v>2.3</v>
      </c>
      <c r="I11" s="96" t="s">
        <v>36</v>
      </c>
      <c r="J11" s="124">
        <v>9</v>
      </c>
      <c r="K11" s="96" t="s">
        <v>29</v>
      </c>
      <c r="L11" s="125" t="s">
        <v>22</v>
      </c>
      <c r="M11" s="96" t="s">
        <v>37</v>
      </c>
      <c r="N11" s="126">
        <f t="shared" si="1"/>
        <v>508.53</v>
      </c>
      <c r="O11" s="127">
        <f>$H11*$J11*0.1*(0.3*200+8+0.06*1150+0.04*1300)+$H11</f>
        <v>393.53</v>
      </c>
      <c r="P11" s="128">
        <f t="shared" si="2"/>
        <v>115</v>
      </c>
      <c r="Q11" s="114">
        <v>2017</v>
      </c>
      <c r="R11" s="96" t="s">
        <v>38</v>
      </c>
      <c r="S11" s="114" t="s">
        <v>32</v>
      </c>
    </row>
    <row r="12" ht="61" customHeight="1" spans="1:19">
      <c r="A12" s="99"/>
      <c r="B12" s="96" t="s">
        <v>33</v>
      </c>
      <c r="C12" s="96" t="s">
        <v>34</v>
      </c>
      <c r="D12" s="96" t="s">
        <v>26</v>
      </c>
      <c r="E12" s="96" t="s">
        <v>35</v>
      </c>
      <c r="F12" s="97">
        <v>2.3</v>
      </c>
      <c r="G12" s="97">
        <v>2.8</v>
      </c>
      <c r="H12" s="97">
        <f t="shared" si="0"/>
        <v>0.5</v>
      </c>
      <c r="I12" s="96" t="s">
        <v>36</v>
      </c>
      <c r="J12" s="124">
        <v>9</v>
      </c>
      <c r="K12" s="96" t="s">
        <v>29</v>
      </c>
      <c r="L12" s="125" t="s">
        <v>22</v>
      </c>
      <c r="M12" s="96" t="s">
        <v>39</v>
      </c>
      <c r="N12" s="126">
        <f t="shared" si="1"/>
        <v>112.98</v>
      </c>
      <c r="O12" s="127">
        <f>$H12*$J12*0.1*(0.18*30+0.3*200+8+0.06*1150+0.04*1300)+$H12</f>
        <v>87.98</v>
      </c>
      <c r="P12" s="128">
        <f t="shared" si="2"/>
        <v>25</v>
      </c>
      <c r="Q12" s="114">
        <v>2017</v>
      </c>
      <c r="R12" s="96" t="s">
        <v>38</v>
      </c>
      <c r="S12" s="114" t="s">
        <v>32</v>
      </c>
    </row>
    <row r="13" ht="45" customHeight="1" spans="1:19">
      <c r="A13" s="99"/>
      <c r="B13" s="96" t="s">
        <v>33</v>
      </c>
      <c r="C13" s="96" t="s">
        <v>34</v>
      </c>
      <c r="D13" s="96" t="s">
        <v>26</v>
      </c>
      <c r="E13" s="96" t="s">
        <v>35</v>
      </c>
      <c r="F13" s="97">
        <v>2.8</v>
      </c>
      <c r="G13" s="97">
        <v>5.25</v>
      </c>
      <c r="H13" s="97">
        <f t="shared" si="0"/>
        <v>2.45</v>
      </c>
      <c r="I13" s="96" t="s">
        <v>36</v>
      </c>
      <c r="J13" s="124">
        <v>9</v>
      </c>
      <c r="K13" s="96" t="s">
        <v>29</v>
      </c>
      <c r="L13" s="125" t="s">
        <v>22</v>
      </c>
      <c r="M13" s="96" t="s">
        <v>37</v>
      </c>
      <c r="N13" s="126">
        <f t="shared" si="1"/>
        <v>541.695</v>
      </c>
      <c r="O13" s="127">
        <f>$H13*$J13*0.1*(0.3*200+8+0.06*1150+0.04*1300)+$H13</f>
        <v>419.195</v>
      </c>
      <c r="P13" s="128">
        <f t="shared" si="2"/>
        <v>122.5</v>
      </c>
      <c r="Q13" s="114">
        <v>2017</v>
      </c>
      <c r="R13" s="96" t="s">
        <v>38</v>
      </c>
      <c r="S13" s="114" t="s">
        <v>32</v>
      </c>
    </row>
    <row r="14" ht="57" customHeight="1" spans="1:19">
      <c r="A14" s="100"/>
      <c r="B14" s="96" t="s">
        <v>33</v>
      </c>
      <c r="C14" s="96" t="s">
        <v>34</v>
      </c>
      <c r="D14" s="96" t="s">
        <v>26</v>
      </c>
      <c r="E14" s="96" t="s">
        <v>35</v>
      </c>
      <c r="F14" s="97">
        <v>5.25</v>
      </c>
      <c r="G14" s="97">
        <v>5.37</v>
      </c>
      <c r="H14" s="97">
        <f t="shared" si="0"/>
        <v>0.12</v>
      </c>
      <c r="I14" s="96" t="s">
        <v>36</v>
      </c>
      <c r="J14" s="124">
        <v>9</v>
      </c>
      <c r="K14" s="96" t="s">
        <v>29</v>
      </c>
      <c r="L14" s="125" t="s">
        <v>22</v>
      </c>
      <c r="M14" s="96" t="s">
        <v>39</v>
      </c>
      <c r="N14" s="126">
        <f t="shared" si="1"/>
        <v>27.1152</v>
      </c>
      <c r="O14" s="127">
        <f>$H14*$J14*0.1*(0.18*30+0.3*200+8+0.06*1150+0.04*1300)+$H14</f>
        <v>21.1152</v>
      </c>
      <c r="P14" s="128">
        <f t="shared" si="2"/>
        <v>6.00000000000001</v>
      </c>
      <c r="Q14" s="114">
        <v>2017</v>
      </c>
      <c r="R14" s="96" t="s">
        <v>38</v>
      </c>
      <c r="S14" s="114" t="s">
        <v>32</v>
      </c>
    </row>
    <row r="15" ht="52" customHeight="1" spans="1:19">
      <c r="A15" s="98">
        <v>3</v>
      </c>
      <c r="B15" s="96" t="s">
        <v>40</v>
      </c>
      <c r="C15" s="96" t="s">
        <v>41</v>
      </c>
      <c r="D15" s="96" t="s">
        <v>26</v>
      </c>
      <c r="E15" s="96" t="s">
        <v>42</v>
      </c>
      <c r="F15" s="97">
        <v>0</v>
      </c>
      <c r="G15" s="97">
        <v>8.6</v>
      </c>
      <c r="H15" s="97">
        <f t="shared" si="0"/>
        <v>8.6</v>
      </c>
      <c r="I15" s="96" t="s">
        <v>36</v>
      </c>
      <c r="J15" s="124">
        <v>12</v>
      </c>
      <c r="K15" s="96" t="s">
        <v>43</v>
      </c>
      <c r="L15" s="125" t="s">
        <v>22</v>
      </c>
      <c r="M15" s="96" t="s">
        <v>44</v>
      </c>
      <c r="N15" s="126">
        <f t="shared" si="1"/>
        <v>2471.64</v>
      </c>
      <c r="O15" s="127">
        <f t="shared" ref="O15:O18" si="3">$H15*$J15*0.1*(0.3*200+8*2+0.06*1150+0.04*1300)+$H15</f>
        <v>2041.64</v>
      </c>
      <c r="P15" s="128">
        <f t="shared" si="2"/>
        <v>430</v>
      </c>
      <c r="Q15" s="114">
        <v>2017</v>
      </c>
      <c r="R15" s="96" t="s">
        <v>45</v>
      </c>
      <c r="S15" s="114" t="s">
        <v>32</v>
      </c>
    </row>
    <row r="16" ht="60" customHeight="1" spans="1:19">
      <c r="A16" s="99"/>
      <c r="B16" s="96" t="s">
        <v>40</v>
      </c>
      <c r="C16" s="96" t="s">
        <v>41</v>
      </c>
      <c r="D16" s="96" t="s">
        <v>26</v>
      </c>
      <c r="E16" s="96" t="s">
        <v>42</v>
      </c>
      <c r="F16" s="97">
        <v>8.6</v>
      </c>
      <c r="G16" s="97">
        <v>9.3</v>
      </c>
      <c r="H16" s="97">
        <f t="shared" si="0"/>
        <v>0.700000000000001</v>
      </c>
      <c r="I16" s="96" t="s">
        <v>36</v>
      </c>
      <c r="J16" s="124">
        <v>12</v>
      </c>
      <c r="K16" s="96" t="s">
        <v>43</v>
      </c>
      <c r="L16" s="125" t="s">
        <v>22</v>
      </c>
      <c r="M16" s="96" t="s">
        <v>39</v>
      </c>
      <c r="N16" s="126">
        <f t="shared" si="1"/>
        <v>218.316</v>
      </c>
      <c r="O16" s="127">
        <f>$H16*$J16*0.1*(0.23*100+0.18*30+0.3*200+8+0.06*1150+0.04*1300)+$H16</f>
        <v>183.316</v>
      </c>
      <c r="P16" s="128">
        <f t="shared" si="2"/>
        <v>35.0000000000001</v>
      </c>
      <c r="Q16" s="114">
        <v>2017</v>
      </c>
      <c r="R16" s="96" t="s">
        <v>45</v>
      </c>
      <c r="S16" s="114" t="s">
        <v>32</v>
      </c>
    </row>
    <row r="17" ht="46" customHeight="1" spans="1:19">
      <c r="A17" s="99"/>
      <c r="B17" s="96" t="s">
        <v>40</v>
      </c>
      <c r="C17" s="96" t="s">
        <v>41</v>
      </c>
      <c r="D17" s="96" t="s">
        <v>26</v>
      </c>
      <c r="E17" s="96" t="s">
        <v>42</v>
      </c>
      <c r="F17" s="97">
        <v>9.3</v>
      </c>
      <c r="G17" s="97">
        <v>14.7</v>
      </c>
      <c r="H17" s="97">
        <f t="shared" si="0"/>
        <v>5.4</v>
      </c>
      <c r="I17" s="96" t="s">
        <v>36</v>
      </c>
      <c r="J17" s="124">
        <v>12</v>
      </c>
      <c r="K17" s="96" t="s">
        <v>43</v>
      </c>
      <c r="L17" s="125" t="s">
        <v>22</v>
      </c>
      <c r="M17" s="96" t="s">
        <v>44</v>
      </c>
      <c r="N17" s="126">
        <f t="shared" si="1"/>
        <v>1551.96</v>
      </c>
      <c r="O17" s="127">
        <f t="shared" si="3"/>
        <v>1281.96</v>
      </c>
      <c r="P17" s="128">
        <f t="shared" si="2"/>
        <v>270</v>
      </c>
      <c r="Q17" s="114">
        <v>2017</v>
      </c>
      <c r="R17" s="96" t="s">
        <v>45</v>
      </c>
      <c r="S17" s="114" t="s">
        <v>32</v>
      </c>
    </row>
    <row r="18" ht="48" customHeight="1" spans="1:19">
      <c r="A18" s="100"/>
      <c r="B18" s="96" t="s">
        <v>40</v>
      </c>
      <c r="C18" s="96" t="s">
        <v>41</v>
      </c>
      <c r="D18" s="96" t="s">
        <v>26</v>
      </c>
      <c r="E18" s="96" t="s">
        <v>42</v>
      </c>
      <c r="F18" s="97">
        <v>14.7</v>
      </c>
      <c r="G18" s="97">
        <v>15.46</v>
      </c>
      <c r="H18" s="97">
        <f t="shared" si="0"/>
        <v>0.760000000000002</v>
      </c>
      <c r="I18" s="96" t="s">
        <v>36</v>
      </c>
      <c r="J18" s="124">
        <v>12</v>
      </c>
      <c r="K18" s="96" t="s">
        <v>43</v>
      </c>
      <c r="L18" s="125" t="s">
        <v>22</v>
      </c>
      <c r="M18" s="96" t="s">
        <v>44</v>
      </c>
      <c r="N18" s="126">
        <f t="shared" si="1"/>
        <v>218.424</v>
      </c>
      <c r="O18" s="127">
        <f t="shared" si="3"/>
        <v>180.424</v>
      </c>
      <c r="P18" s="128">
        <f t="shared" si="2"/>
        <v>38.0000000000001</v>
      </c>
      <c r="Q18" s="114">
        <v>2017</v>
      </c>
      <c r="R18" s="96" t="s">
        <v>45</v>
      </c>
      <c r="S18" s="114" t="s">
        <v>32</v>
      </c>
    </row>
    <row r="19" ht="45" customHeight="1" spans="1:19">
      <c r="A19" s="98">
        <v>4</v>
      </c>
      <c r="B19" s="96" t="s">
        <v>40</v>
      </c>
      <c r="C19" s="96" t="s">
        <v>41</v>
      </c>
      <c r="D19" s="96" t="s">
        <v>26</v>
      </c>
      <c r="E19" s="96" t="s">
        <v>42</v>
      </c>
      <c r="F19" s="97">
        <v>22.522</v>
      </c>
      <c r="G19" s="97">
        <v>24.5</v>
      </c>
      <c r="H19" s="97">
        <f t="shared" si="0"/>
        <v>1.978</v>
      </c>
      <c r="I19" s="96" t="s">
        <v>36</v>
      </c>
      <c r="J19" s="124">
        <v>9</v>
      </c>
      <c r="K19" s="96" t="s">
        <v>29</v>
      </c>
      <c r="L19" s="125" t="s">
        <v>22</v>
      </c>
      <c r="M19" s="96" t="s">
        <v>37</v>
      </c>
      <c r="N19" s="126">
        <f t="shared" si="1"/>
        <v>437.3358</v>
      </c>
      <c r="O19" s="127">
        <f>$H19*$J19*0.1*(0.3*200+8+0.06*1150+0.04*1300)+$H19</f>
        <v>338.4358</v>
      </c>
      <c r="P19" s="128">
        <f t="shared" si="2"/>
        <v>98.9000000000001</v>
      </c>
      <c r="Q19" s="114">
        <v>2017</v>
      </c>
      <c r="R19" s="96" t="s">
        <v>45</v>
      </c>
      <c r="S19" s="114" t="s">
        <v>32</v>
      </c>
    </row>
    <row r="20" ht="45" customHeight="1" spans="1:19">
      <c r="A20" s="100"/>
      <c r="B20" s="96" t="s">
        <v>40</v>
      </c>
      <c r="C20" s="96" t="s">
        <v>41</v>
      </c>
      <c r="D20" s="96" t="s">
        <v>26</v>
      </c>
      <c r="E20" s="96" t="s">
        <v>42</v>
      </c>
      <c r="F20" s="97">
        <v>31</v>
      </c>
      <c r="G20" s="97">
        <v>39.5</v>
      </c>
      <c r="H20" s="97">
        <f t="shared" si="0"/>
        <v>8.5</v>
      </c>
      <c r="I20" s="96" t="s">
        <v>36</v>
      </c>
      <c r="J20" s="124">
        <v>9</v>
      </c>
      <c r="K20" s="96" t="s">
        <v>29</v>
      </c>
      <c r="L20" s="125" t="s">
        <v>22</v>
      </c>
      <c r="M20" s="96" t="s">
        <v>37</v>
      </c>
      <c r="N20" s="126">
        <f t="shared" si="1"/>
        <v>1879.35</v>
      </c>
      <c r="O20" s="127">
        <f>$H20*$J20*0.1*(0.3*200+8+0.06*1150+0.04*1300)+$H20</f>
        <v>1454.35</v>
      </c>
      <c r="P20" s="128">
        <f t="shared" si="2"/>
        <v>425</v>
      </c>
      <c r="Q20" s="114">
        <v>2017</v>
      </c>
      <c r="R20" s="96" t="s">
        <v>45</v>
      </c>
      <c r="S20" s="114" t="s">
        <v>32</v>
      </c>
    </row>
    <row r="21" ht="40" customHeight="1" spans="1:19">
      <c r="A21" s="98">
        <v>5</v>
      </c>
      <c r="B21" s="96" t="s">
        <v>40</v>
      </c>
      <c r="C21" s="96" t="s">
        <v>46</v>
      </c>
      <c r="D21" s="96" t="s">
        <v>26</v>
      </c>
      <c r="E21" s="96" t="s">
        <v>42</v>
      </c>
      <c r="F21" s="97">
        <v>92.6</v>
      </c>
      <c r="G21" s="97">
        <v>93.573</v>
      </c>
      <c r="H21" s="97">
        <f t="shared" si="0"/>
        <v>0.972999999999999</v>
      </c>
      <c r="I21" s="96" t="s">
        <v>28</v>
      </c>
      <c r="J21" s="124">
        <v>7</v>
      </c>
      <c r="K21" s="96" t="s">
        <v>29</v>
      </c>
      <c r="L21" s="125" t="s">
        <v>22</v>
      </c>
      <c r="M21" s="96" t="s">
        <v>47</v>
      </c>
      <c r="N21" s="126">
        <f t="shared" si="1"/>
        <v>149.0636</v>
      </c>
      <c r="O21" s="127">
        <f t="shared" ref="O21:O24" si="4">$H21*$J21*0.1*(0.3*200+8+0.06*1300)+$H21</f>
        <v>100.4136</v>
      </c>
      <c r="P21" s="128">
        <f t="shared" si="2"/>
        <v>48.6499999999999</v>
      </c>
      <c r="Q21" s="114">
        <v>2017</v>
      </c>
      <c r="R21" s="96" t="s">
        <v>31</v>
      </c>
      <c r="S21" s="114" t="s">
        <v>32</v>
      </c>
    </row>
    <row r="22" ht="42" customHeight="1" spans="1:19">
      <c r="A22" s="100"/>
      <c r="B22" s="96" t="s">
        <v>40</v>
      </c>
      <c r="C22" s="96" t="s">
        <v>46</v>
      </c>
      <c r="D22" s="96" t="s">
        <v>26</v>
      </c>
      <c r="E22" s="96" t="s">
        <v>42</v>
      </c>
      <c r="F22" s="97">
        <v>94.232</v>
      </c>
      <c r="G22" s="97">
        <v>103</v>
      </c>
      <c r="H22" s="97">
        <f t="shared" si="0"/>
        <v>8.768</v>
      </c>
      <c r="I22" s="96" t="s">
        <v>28</v>
      </c>
      <c r="J22" s="124">
        <v>7</v>
      </c>
      <c r="K22" s="96" t="s">
        <v>29</v>
      </c>
      <c r="L22" s="125" t="s">
        <v>22</v>
      </c>
      <c r="M22" s="96" t="s">
        <v>47</v>
      </c>
      <c r="N22" s="126">
        <f t="shared" si="1"/>
        <v>1343.2576</v>
      </c>
      <c r="O22" s="127">
        <f t="shared" si="4"/>
        <v>904.8576</v>
      </c>
      <c r="P22" s="128">
        <f t="shared" si="2"/>
        <v>438.4</v>
      </c>
      <c r="Q22" s="114">
        <v>2017</v>
      </c>
      <c r="R22" s="96" t="s">
        <v>31</v>
      </c>
      <c r="S22" s="114" t="s">
        <v>32</v>
      </c>
    </row>
    <row r="23" ht="37" customHeight="1" spans="1:19">
      <c r="A23" s="98">
        <v>5</v>
      </c>
      <c r="B23" s="96" t="s">
        <v>40</v>
      </c>
      <c r="C23" s="96" t="s">
        <v>46</v>
      </c>
      <c r="D23" s="96" t="s">
        <v>26</v>
      </c>
      <c r="E23" s="96" t="s">
        <v>42</v>
      </c>
      <c r="F23" s="97">
        <v>106.063</v>
      </c>
      <c r="G23" s="97">
        <v>109.4</v>
      </c>
      <c r="H23" s="97">
        <f t="shared" si="0"/>
        <v>3.337</v>
      </c>
      <c r="I23" s="96" t="s">
        <v>28</v>
      </c>
      <c r="J23" s="124">
        <v>7</v>
      </c>
      <c r="K23" s="96" t="s">
        <v>29</v>
      </c>
      <c r="L23" s="125" t="s">
        <v>22</v>
      </c>
      <c r="M23" s="96" t="s">
        <v>47</v>
      </c>
      <c r="N23" s="126">
        <f t="shared" si="1"/>
        <v>511.228400000001</v>
      </c>
      <c r="O23" s="127">
        <f t="shared" si="4"/>
        <v>344.3784</v>
      </c>
      <c r="P23" s="128">
        <f t="shared" si="2"/>
        <v>166.85</v>
      </c>
      <c r="Q23" s="114">
        <v>2017</v>
      </c>
      <c r="R23" s="96" t="s">
        <v>31</v>
      </c>
      <c r="S23" s="114" t="s">
        <v>32</v>
      </c>
    </row>
    <row r="24" ht="40" customHeight="1" spans="1:19">
      <c r="A24" s="100"/>
      <c r="B24" s="96" t="s">
        <v>40</v>
      </c>
      <c r="C24" s="96" t="s">
        <v>46</v>
      </c>
      <c r="D24" s="96" t="s">
        <v>26</v>
      </c>
      <c r="E24" s="96" t="s">
        <v>42</v>
      </c>
      <c r="F24" s="97">
        <v>113</v>
      </c>
      <c r="G24" s="97">
        <v>114</v>
      </c>
      <c r="H24" s="97">
        <f t="shared" si="0"/>
        <v>1</v>
      </c>
      <c r="I24" s="96" t="s">
        <v>28</v>
      </c>
      <c r="J24" s="124">
        <v>7</v>
      </c>
      <c r="K24" s="96" t="s">
        <v>29</v>
      </c>
      <c r="L24" s="125" t="s">
        <v>22</v>
      </c>
      <c r="M24" s="96" t="s">
        <v>47</v>
      </c>
      <c r="N24" s="126">
        <f t="shared" si="1"/>
        <v>153.2</v>
      </c>
      <c r="O24" s="127">
        <f t="shared" si="4"/>
        <v>103.2</v>
      </c>
      <c r="P24" s="128">
        <f t="shared" si="2"/>
        <v>50</v>
      </c>
      <c r="Q24" s="114">
        <v>2017</v>
      </c>
      <c r="R24" s="96" t="s">
        <v>31</v>
      </c>
      <c r="S24" s="114" t="s">
        <v>32</v>
      </c>
    </row>
    <row r="25" ht="48" customHeight="1" spans="1:19">
      <c r="A25" s="98">
        <v>6</v>
      </c>
      <c r="B25" s="96" t="s">
        <v>40</v>
      </c>
      <c r="C25" s="96" t="s">
        <v>41</v>
      </c>
      <c r="D25" s="96" t="s">
        <v>26</v>
      </c>
      <c r="E25" s="96" t="s">
        <v>42</v>
      </c>
      <c r="F25" s="97">
        <v>106.7</v>
      </c>
      <c r="G25" s="97">
        <v>110.1</v>
      </c>
      <c r="H25" s="97">
        <f t="shared" si="0"/>
        <v>3.39999999999999</v>
      </c>
      <c r="I25" s="96" t="s">
        <v>36</v>
      </c>
      <c r="J25" s="124">
        <v>9</v>
      </c>
      <c r="K25" s="96" t="s">
        <v>29</v>
      </c>
      <c r="L25" s="125" t="s">
        <v>22</v>
      </c>
      <c r="M25" s="96" t="s">
        <v>37</v>
      </c>
      <c r="N25" s="126">
        <f t="shared" si="1"/>
        <v>751.739999999998</v>
      </c>
      <c r="O25" s="127">
        <f t="shared" ref="O25:O29" si="5">$H25*$J25*0.1*(0.3*200+8+0.06*1150+0.04*1300)+$H25</f>
        <v>581.739999999999</v>
      </c>
      <c r="P25" s="128">
        <f t="shared" si="2"/>
        <v>170</v>
      </c>
      <c r="Q25" s="114">
        <v>2017</v>
      </c>
      <c r="R25" s="96" t="s">
        <v>48</v>
      </c>
      <c r="S25" s="114" t="s">
        <v>32</v>
      </c>
    </row>
    <row r="26" ht="49" customHeight="1" spans="1:19">
      <c r="A26" s="99"/>
      <c r="B26" s="96" t="s">
        <v>40</v>
      </c>
      <c r="C26" s="96" t="s">
        <v>41</v>
      </c>
      <c r="D26" s="96" t="s">
        <v>26</v>
      </c>
      <c r="E26" s="96" t="s">
        <v>42</v>
      </c>
      <c r="F26" s="97">
        <v>110.1</v>
      </c>
      <c r="G26" s="97">
        <v>110.4</v>
      </c>
      <c r="H26" s="97">
        <f t="shared" si="0"/>
        <v>0.300000000000011</v>
      </c>
      <c r="I26" s="96" t="s">
        <v>36</v>
      </c>
      <c r="J26" s="124">
        <v>9</v>
      </c>
      <c r="K26" s="96" t="s">
        <v>29</v>
      </c>
      <c r="L26" s="125" t="s">
        <v>22</v>
      </c>
      <c r="M26" s="96" t="s">
        <v>37</v>
      </c>
      <c r="N26" s="126">
        <f t="shared" si="1"/>
        <v>66.3300000000025</v>
      </c>
      <c r="O26" s="127">
        <f t="shared" si="5"/>
        <v>51.3300000000019</v>
      </c>
      <c r="P26" s="128">
        <f t="shared" si="2"/>
        <v>15.0000000000006</v>
      </c>
      <c r="Q26" s="114">
        <v>2017</v>
      </c>
      <c r="R26" s="96" t="s">
        <v>48</v>
      </c>
      <c r="S26" s="114" t="s">
        <v>32</v>
      </c>
    </row>
    <row r="27" ht="45" customHeight="1" spans="1:19">
      <c r="A27" s="99"/>
      <c r="B27" s="96" t="s">
        <v>40</v>
      </c>
      <c r="C27" s="96" t="s">
        <v>41</v>
      </c>
      <c r="D27" s="96" t="s">
        <v>26</v>
      </c>
      <c r="E27" s="96" t="s">
        <v>42</v>
      </c>
      <c r="F27" s="97">
        <v>114.7</v>
      </c>
      <c r="G27" s="97">
        <v>118.1</v>
      </c>
      <c r="H27" s="97">
        <f t="shared" si="0"/>
        <v>3.39999999999999</v>
      </c>
      <c r="I27" s="96" t="s">
        <v>36</v>
      </c>
      <c r="J27" s="124">
        <v>9</v>
      </c>
      <c r="K27" s="96" t="s">
        <v>29</v>
      </c>
      <c r="L27" s="125" t="s">
        <v>22</v>
      </c>
      <c r="M27" s="96" t="s">
        <v>37</v>
      </c>
      <c r="N27" s="126">
        <f t="shared" si="1"/>
        <v>751.739999999998</v>
      </c>
      <c r="O27" s="127">
        <f t="shared" si="5"/>
        <v>581.739999999999</v>
      </c>
      <c r="P27" s="128">
        <f t="shared" si="2"/>
        <v>170</v>
      </c>
      <c r="Q27" s="114">
        <v>2017</v>
      </c>
      <c r="R27" s="96" t="s">
        <v>48</v>
      </c>
      <c r="S27" s="114" t="s">
        <v>32</v>
      </c>
    </row>
    <row r="28" ht="51" customHeight="1" spans="1:19">
      <c r="A28" s="99"/>
      <c r="B28" s="96" t="s">
        <v>40</v>
      </c>
      <c r="C28" s="96" t="s">
        <v>41</v>
      </c>
      <c r="D28" s="96" t="s">
        <v>26</v>
      </c>
      <c r="E28" s="96" t="s">
        <v>42</v>
      </c>
      <c r="F28" s="97">
        <v>118.1</v>
      </c>
      <c r="G28" s="97">
        <v>118.5</v>
      </c>
      <c r="H28" s="97">
        <f t="shared" si="0"/>
        <v>0.400000000000006</v>
      </c>
      <c r="I28" s="96" t="s">
        <v>36</v>
      </c>
      <c r="J28" s="124">
        <v>9</v>
      </c>
      <c r="K28" s="96" t="s">
        <v>29</v>
      </c>
      <c r="L28" s="125" t="s">
        <v>22</v>
      </c>
      <c r="M28" s="96" t="s">
        <v>37</v>
      </c>
      <c r="N28" s="126">
        <f t="shared" si="1"/>
        <v>88.4400000000013</v>
      </c>
      <c r="O28" s="127">
        <f t="shared" si="5"/>
        <v>68.440000000001</v>
      </c>
      <c r="P28" s="128">
        <f t="shared" si="2"/>
        <v>20.0000000000003</v>
      </c>
      <c r="Q28" s="114">
        <v>2017</v>
      </c>
      <c r="R28" s="96" t="s">
        <v>48</v>
      </c>
      <c r="S28" s="114" t="s">
        <v>32</v>
      </c>
    </row>
    <row r="29" ht="55" customHeight="1" spans="1:19">
      <c r="A29" s="100"/>
      <c r="B29" s="96" t="s">
        <v>40</v>
      </c>
      <c r="C29" s="96" t="s">
        <v>41</v>
      </c>
      <c r="D29" s="96" t="s">
        <v>26</v>
      </c>
      <c r="E29" s="96" t="s">
        <v>42</v>
      </c>
      <c r="F29" s="97">
        <v>118.5</v>
      </c>
      <c r="G29" s="97">
        <v>118.96</v>
      </c>
      <c r="H29" s="97">
        <f t="shared" si="0"/>
        <v>0.459999999999994</v>
      </c>
      <c r="I29" s="96" t="s">
        <v>36</v>
      </c>
      <c r="J29" s="124">
        <v>9</v>
      </c>
      <c r="K29" s="96" t="s">
        <v>29</v>
      </c>
      <c r="L29" s="125" t="s">
        <v>22</v>
      </c>
      <c r="M29" s="96" t="s">
        <v>37</v>
      </c>
      <c r="N29" s="126">
        <f t="shared" si="1"/>
        <v>101.705999999999</v>
      </c>
      <c r="O29" s="127">
        <f t="shared" si="5"/>
        <v>78.7059999999989</v>
      </c>
      <c r="P29" s="128">
        <f t="shared" si="2"/>
        <v>22.9999999999997</v>
      </c>
      <c r="Q29" s="114">
        <v>2017</v>
      </c>
      <c r="R29" s="96" t="s">
        <v>48</v>
      </c>
      <c r="S29" s="114" t="s">
        <v>32</v>
      </c>
    </row>
    <row r="30" ht="42" customHeight="1" spans="1:19">
      <c r="A30" s="87">
        <v>7</v>
      </c>
      <c r="B30" s="96" t="s">
        <v>49</v>
      </c>
      <c r="C30" s="96" t="s">
        <v>41</v>
      </c>
      <c r="D30" s="96" t="s">
        <v>26</v>
      </c>
      <c r="E30" s="96" t="s">
        <v>50</v>
      </c>
      <c r="F30" s="97">
        <v>175</v>
      </c>
      <c r="G30" s="97">
        <v>181</v>
      </c>
      <c r="H30" s="97">
        <f t="shared" si="0"/>
        <v>6</v>
      </c>
      <c r="I30" s="96" t="s">
        <v>36</v>
      </c>
      <c r="J30" s="124">
        <v>9</v>
      </c>
      <c r="K30" s="129" t="s">
        <v>43</v>
      </c>
      <c r="L30" s="125" t="s">
        <v>22</v>
      </c>
      <c r="M30" s="96" t="s">
        <v>51</v>
      </c>
      <c r="N30" s="126">
        <f t="shared" si="1"/>
        <v>1029.6</v>
      </c>
      <c r="O30" s="127">
        <f>$H30*$J30*0.1*(0.2*200+8*2+0.06*1300)+$H30</f>
        <v>729.6</v>
      </c>
      <c r="P30" s="128">
        <f t="shared" si="2"/>
        <v>300</v>
      </c>
      <c r="Q30" s="114">
        <v>2017</v>
      </c>
      <c r="R30" s="96" t="s">
        <v>48</v>
      </c>
      <c r="S30" s="114" t="s">
        <v>32</v>
      </c>
    </row>
    <row r="31" ht="42" customHeight="1" spans="1:19">
      <c r="A31" s="87">
        <v>8</v>
      </c>
      <c r="B31" s="96" t="s">
        <v>52</v>
      </c>
      <c r="C31" s="96" t="s">
        <v>53</v>
      </c>
      <c r="D31" s="96" t="s">
        <v>54</v>
      </c>
      <c r="E31" s="96" t="s">
        <v>55</v>
      </c>
      <c r="F31" s="97">
        <v>13.535</v>
      </c>
      <c r="G31" s="97">
        <v>22.152</v>
      </c>
      <c r="H31" s="97">
        <f t="shared" si="0"/>
        <v>8.617</v>
      </c>
      <c r="I31" s="96" t="s">
        <v>28</v>
      </c>
      <c r="J31" s="124">
        <v>7</v>
      </c>
      <c r="K31" s="96" t="s">
        <v>29</v>
      </c>
      <c r="L31" s="125" t="s">
        <v>22</v>
      </c>
      <c r="M31" s="96" t="s">
        <v>30</v>
      </c>
      <c r="N31" s="126">
        <f t="shared" si="1"/>
        <v>1145.1993</v>
      </c>
      <c r="O31" s="127">
        <f>$H31*$J31*0.1*(0.2*200+8+0.06*1150)+$H31</f>
        <v>714.3493</v>
      </c>
      <c r="P31" s="128">
        <f t="shared" si="2"/>
        <v>430.85</v>
      </c>
      <c r="Q31" s="114">
        <v>2017</v>
      </c>
      <c r="R31" s="96" t="s">
        <v>56</v>
      </c>
      <c r="S31" s="114" t="s">
        <v>32</v>
      </c>
    </row>
    <row r="32" ht="49" customHeight="1" spans="1:19">
      <c r="A32" s="87">
        <v>9</v>
      </c>
      <c r="B32" s="96" t="s">
        <v>57</v>
      </c>
      <c r="C32" s="96" t="s">
        <v>58</v>
      </c>
      <c r="D32" s="96" t="s">
        <v>26</v>
      </c>
      <c r="E32" s="96" t="s">
        <v>59</v>
      </c>
      <c r="F32" s="97">
        <v>37</v>
      </c>
      <c r="G32" s="97">
        <v>47.842</v>
      </c>
      <c r="H32" s="97">
        <f t="shared" si="0"/>
        <v>10.842</v>
      </c>
      <c r="I32" s="96" t="s">
        <v>36</v>
      </c>
      <c r="J32" s="124">
        <v>9</v>
      </c>
      <c r="K32" s="96" t="s">
        <v>29</v>
      </c>
      <c r="L32" s="125" t="s">
        <v>22</v>
      </c>
      <c r="M32" s="96" t="s">
        <v>60</v>
      </c>
      <c r="N32" s="126">
        <f t="shared" si="1"/>
        <v>1915.13088</v>
      </c>
      <c r="O32" s="127">
        <f>$H32*$J32*0.1*(0.18*170+0.16*200+8+0.06*1150)+$H32</f>
        <v>1373.03088</v>
      </c>
      <c r="P32" s="128">
        <f t="shared" si="2"/>
        <v>542.1</v>
      </c>
      <c r="Q32" s="114">
        <v>2017</v>
      </c>
      <c r="R32" s="96" t="s">
        <v>61</v>
      </c>
      <c r="S32" s="114" t="s">
        <v>32</v>
      </c>
    </row>
    <row r="33" ht="51" customHeight="1" spans="1:19">
      <c r="A33" s="98">
        <v>10</v>
      </c>
      <c r="B33" s="96" t="s">
        <v>62</v>
      </c>
      <c r="C33" s="96" t="s">
        <v>63</v>
      </c>
      <c r="D33" s="96" t="s">
        <v>26</v>
      </c>
      <c r="E33" s="96" t="s">
        <v>64</v>
      </c>
      <c r="F33" s="97">
        <v>17</v>
      </c>
      <c r="G33" s="97">
        <v>20</v>
      </c>
      <c r="H33" s="97">
        <f t="shared" si="0"/>
        <v>3</v>
      </c>
      <c r="I33" s="96" t="s">
        <v>65</v>
      </c>
      <c r="J33" s="124">
        <v>15</v>
      </c>
      <c r="K33" s="96" t="s">
        <v>43</v>
      </c>
      <c r="L33" s="125" t="s">
        <v>22</v>
      </c>
      <c r="M33" s="96" t="s">
        <v>66</v>
      </c>
      <c r="N33" s="126">
        <f t="shared" si="1"/>
        <v>1203</v>
      </c>
      <c r="O33" s="127">
        <f>$H33*$J33*0.1*(8+0.2*200+0.08*800+0.06*1150+0.04*1300)+$H33*1.5</f>
        <v>1053</v>
      </c>
      <c r="P33" s="128">
        <f t="shared" si="2"/>
        <v>150</v>
      </c>
      <c r="Q33" s="114">
        <v>2017</v>
      </c>
      <c r="R33" s="96" t="s">
        <v>67</v>
      </c>
      <c r="S33" s="114" t="s">
        <v>32</v>
      </c>
    </row>
    <row r="34" ht="45" customHeight="1" spans="1:19">
      <c r="A34" s="99"/>
      <c r="B34" s="96" t="s">
        <v>62</v>
      </c>
      <c r="C34" s="96" t="s">
        <v>63</v>
      </c>
      <c r="D34" s="96" t="s">
        <v>26</v>
      </c>
      <c r="E34" s="96" t="s">
        <v>64</v>
      </c>
      <c r="F34" s="97">
        <v>23</v>
      </c>
      <c r="G34" s="97">
        <v>29</v>
      </c>
      <c r="H34" s="97">
        <f t="shared" si="0"/>
        <v>6</v>
      </c>
      <c r="I34" s="96" t="s">
        <v>65</v>
      </c>
      <c r="J34" s="124">
        <v>15</v>
      </c>
      <c r="K34" s="96" t="s">
        <v>43</v>
      </c>
      <c r="L34" s="125" t="s">
        <v>22</v>
      </c>
      <c r="M34" s="96" t="s">
        <v>66</v>
      </c>
      <c r="N34" s="126">
        <f t="shared" si="1"/>
        <v>2406</v>
      </c>
      <c r="O34" s="127">
        <f>$H34*$J34*0.1*(8+0.2*200+0.08*800+0.06*1150+0.04*1300)+$H34*1.5</f>
        <v>2106</v>
      </c>
      <c r="P34" s="128">
        <f t="shared" si="2"/>
        <v>300</v>
      </c>
      <c r="Q34" s="114">
        <v>2017</v>
      </c>
      <c r="R34" s="96" t="s">
        <v>67</v>
      </c>
      <c r="S34" s="114" t="s">
        <v>32</v>
      </c>
    </row>
    <row r="35" ht="33" customHeight="1" spans="1:19">
      <c r="A35" s="100"/>
      <c r="B35" s="96" t="s">
        <v>62</v>
      </c>
      <c r="C35" s="96" t="s">
        <v>63</v>
      </c>
      <c r="D35" s="96" t="s">
        <v>26</v>
      </c>
      <c r="E35" s="96" t="s">
        <v>64</v>
      </c>
      <c r="F35" s="97">
        <v>40</v>
      </c>
      <c r="G35" s="97">
        <v>42</v>
      </c>
      <c r="H35" s="97">
        <f t="shared" si="0"/>
        <v>2</v>
      </c>
      <c r="I35" s="96" t="s">
        <v>65</v>
      </c>
      <c r="J35" s="124">
        <v>15</v>
      </c>
      <c r="K35" s="96" t="s">
        <v>43</v>
      </c>
      <c r="L35" s="125" t="s">
        <v>23</v>
      </c>
      <c r="M35" s="96" t="s">
        <v>68</v>
      </c>
      <c r="N35" s="126">
        <f t="shared" si="1"/>
        <v>172</v>
      </c>
      <c r="O35" s="127">
        <f>4500*160/10000</f>
        <v>72</v>
      </c>
      <c r="P35" s="128">
        <f t="shared" si="2"/>
        <v>100</v>
      </c>
      <c r="Q35" s="114">
        <v>2017</v>
      </c>
      <c r="R35" s="96" t="s">
        <v>67</v>
      </c>
      <c r="S35" s="114" t="s">
        <v>32</v>
      </c>
    </row>
    <row r="36" ht="30" customHeight="1" spans="1:19">
      <c r="A36" s="98">
        <v>11</v>
      </c>
      <c r="B36" s="96" t="s">
        <v>69</v>
      </c>
      <c r="C36" s="96" t="s">
        <v>70</v>
      </c>
      <c r="D36" s="96" t="s">
        <v>54</v>
      </c>
      <c r="E36" s="96" t="s">
        <v>71</v>
      </c>
      <c r="F36" s="97">
        <v>42.681</v>
      </c>
      <c r="G36" s="97">
        <v>43.4</v>
      </c>
      <c r="H36" s="97">
        <f t="shared" si="0"/>
        <v>0.719000000000001</v>
      </c>
      <c r="I36" s="96" t="s">
        <v>28</v>
      </c>
      <c r="J36" s="124">
        <v>7</v>
      </c>
      <c r="K36" s="96" t="s">
        <v>29</v>
      </c>
      <c r="L36" s="125" t="s">
        <v>22</v>
      </c>
      <c r="M36" s="96" t="s">
        <v>72</v>
      </c>
      <c r="N36" s="126">
        <f t="shared" si="1"/>
        <v>95.5551000000002</v>
      </c>
      <c r="O36" s="127">
        <f t="shared" ref="O36:O43" si="6">$H36*$J36*0.1*(0.2*200+8+0.06*1150)+$H36</f>
        <v>59.6051000000001</v>
      </c>
      <c r="P36" s="128">
        <f t="shared" si="2"/>
        <v>35.9500000000001</v>
      </c>
      <c r="Q36" s="114">
        <v>2017</v>
      </c>
      <c r="R36" s="96" t="s">
        <v>73</v>
      </c>
      <c r="S36" s="114" t="s">
        <v>32</v>
      </c>
    </row>
    <row r="37" ht="27" customHeight="1" spans="1:19">
      <c r="A37" s="99"/>
      <c r="B37" s="96" t="s">
        <v>69</v>
      </c>
      <c r="C37" s="96" t="s">
        <v>70</v>
      </c>
      <c r="D37" s="96" t="s">
        <v>54</v>
      </c>
      <c r="E37" s="96" t="s">
        <v>71</v>
      </c>
      <c r="F37" s="97">
        <v>43.4</v>
      </c>
      <c r="G37" s="97">
        <v>46</v>
      </c>
      <c r="H37" s="97">
        <f t="shared" si="0"/>
        <v>2.6</v>
      </c>
      <c r="I37" s="96" t="s">
        <v>28</v>
      </c>
      <c r="J37" s="124">
        <v>7</v>
      </c>
      <c r="K37" s="96" t="s">
        <v>29</v>
      </c>
      <c r="L37" s="125" t="s">
        <v>22</v>
      </c>
      <c r="M37" s="96" t="s">
        <v>72</v>
      </c>
      <c r="N37" s="126">
        <f t="shared" si="1"/>
        <v>345.54</v>
      </c>
      <c r="O37" s="127">
        <f t="shared" si="6"/>
        <v>215.54</v>
      </c>
      <c r="P37" s="128">
        <f t="shared" si="2"/>
        <v>130</v>
      </c>
      <c r="Q37" s="114">
        <v>2017</v>
      </c>
      <c r="R37" s="96" t="s">
        <v>73</v>
      </c>
      <c r="S37" s="114" t="s">
        <v>32</v>
      </c>
    </row>
    <row r="38" ht="34" customHeight="1" spans="1:19">
      <c r="A38" s="99"/>
      <c r="B38" s="96" t="s">
        <v>69</v>
      </c>
      <c r="C38" s="96" t="s">
        <v>70</v>
      </c>
      <c r="D38" s="96" t="s">
        <v>54</v>
      </c>
      <c r="E38" s="96" t="s">
        <v>71</v>
      </c>
      <c r="F38" s="97">
        <v>46</v>
      </c>
      <c r="G38" s="97">
        <v>51</v>
      </c>
      <c r="H38" s="97">
        <f t="shared" si="0"/>
        <v>5</v>
      </c>
      <c r="I38" s="96" t="s">
        <v>28</v>
      </c>
      <c r="J38" s="124">
        <v>7</v>
      </c>
      <c r="K38" s="96" t="s">
        <v>29</v>
      </c>
      <c r="L38" s="125" t="s">
        <v>22</v>
      </c>
      <c r="M38" s="96" t="s">
        <v>72</v>
      </c>
      <c r="N38" s="126">
        <f t="shared" si="1"/>
        <v>664.5</v>
      </c>
      <c r="O38" s="127">
        <f t="shared" si="6"/>
        <v>414.5</v>
      </c>
      <c r="P38" s="128">
        <f t="shared" si="2"/>
        <v>250</v>
      </c>
      <c r="Q38" s="114">
        <v>2017</v>
      </c>
      <c r="R38" s="96" t="s">
        <v>73</v>
      </c>
      <c r="S38" s="114" t="s">
        <v>32</v>
      </c>
    </row>
    <row r="39" ht="30" customHeight="1" spans="1:19">
      <c r="A39" s="100"/>
      <c r="B39" s="96" t="s">
        <v>69</v>
      </c>
      <c r="C39" s="96" t="s">
        <v>70</v>
      </c>
      <c r="D39" s="96" t="s">
        <v>54</v>
      </c>
      <c r="E39" s="96" t="s">
        <v>71</v>
      </c>
      <c r="F39" s="97">
        <v>51</v>
      </c>
      <c r="G39" s="97">
        <v>52.511</v>
      </c>
      <c r="H39" s="97">
        <f t="shared" si="0"/>
        <v>1.511</v>
      </c>
      <c r="I39" s="96" t="s">
        <v>28</v>
      </c>
      <c r="J39" s="124">
        <v>7</v>
      </c>
      <c r="K39" s="96" t="s">
        <v>29</v>
      </c>
      <c r="L39" s="125" t="s">
        <v>22</v>
      </c>
      <c r="M39" s="96" t="s">
        <v>72</v>
      </c>
      <c r="N39" s="126">
        <f t="shared" si="1"/>
        <v>200.8119</v>
      </c>
      <c r="O39" s="127">
        <f t="shared" si="6"/>
        <v>125.2619</v>
      </c>
      <c r="P39" s="128">
        <f t="shared" si="2"/>
        <v>75.5500000000001</v>
      </c>
      <c r="Q39" s="114">
        <v>2017</v>
      </c>
      <c r="R39" s="96" t="s">
        <v>73</v>
      </c>
      <c r="S39" s="114" t="s">
        <v>32</v>
      </c>
    </row>
    <row r="40" ht="31" customHeight="1" spans="1:19">
      <c r="A40" s="98">
        <v>12</v>
      </c>
      <c r="B40" s="96" t="s">
        <v>74</v>
      </c>
      <c r="C40" s="96" t="s">
        <v>75</v>
      </c>
      <c r="D40" s="96" t="s">
        <v>54</v>
      </c>
      <c r="E40" s="101" t="s">
        <v>76</v>
      </c>
      <c r="F40" s="97">
        <v>12.111</v>
      </c>
      <c r="G40" s="97">
        <v>14.8</v>
      </c>
      <c r="H40" s="97">
        <f t="shared" si="0"/>
        <v>2.689</v>
      </c>
      <c r="I40" s="96" t="s">
        <v>28</v>
      </c>
      <c r="J40" s="124">
        <v>7</v>
      </c>
      <c r="K40" s="96" t="s">
        <v>29</v>
      </c>
      <c r="L40" s="125" t="s">
        <v>22</v>
      </c>
      <c r="M40" s="96" t="s">
        <v>30</v>
      </c>
      <c r="N40" s="126">
        <f t="shared" si="1"/>
        <v>357.3681</v>
      </c>
      <c r="O40" s="127">
        <f t="shared" si="6"/>
        <v>222.9181</v>
      </c>
      <c r="P40" s="128">
        <f t="shared" si="2"/>
        <v>134.45</v>
      </c>
      <c r="Q40" s="114">
        <v>2017</v>
      </c>
      <c r="R40" s="96" t="s">
        <v>56</v>
      </c>
      <c r="S40" s="114" t="s">
        <v>32</v>
      </c>
    </row>
    <row r="41" ht="30" customHeight="1" spans="1:19">
      <c r="A41" s="99"/>
      <c r="B41" s="96" t="s">
        <v>74</v>
      </c>
      <c r="C41" s="96" t="s">
        <v>75</v>
      </c>
      <c r="D41" s="96" t="s">
        <v>54</v>
      </c>
      <c r="E41" s="101" t="s">
        <v>76</v>
      </c>
      <c r="F41" s="97">
        <v>29.611</v>
      </c>
      <c r="G41" s="97">
        <v>33.281</v>
      </c>
      <c r="H41" s="97">
        <f t="shared" si="0"/>
        <v>3.67</v>
      </c>
      <c r="I41" s="96" t="s">
        <v>28</v>
      </c>
      <c r="J41" s="124">
        <v>7</v>
      </c>
      <c r="K41" s="96" t="s">
        <v>29</v>
      </c>
      <c r="L41" s="125" t="s">
        <v>22</v>
      </c>
      <c r="M41" s="96" t="s">
        <v>30</v>
      </c>
      <c r="N41" s="126">
        <f t="shared" si="1"/>
        <v>487.743</v>
      </c>
      <c r="O41" s="127">
        <f t="shared" si="6"/>
        <v>304.243</v>
      </c>
      <c r="P41" s="128">
        <f t="shared" si="2"/>
        <v>183.5</v>
      </c>
      <c r="Q41" s="114">
        <v>2017</v>
      </c>
      <c r="R41" s="96" t="s">
        <v>56</v>
      </c>
      <c r="S41" s="114" t="s">
        <v>32</v>
      </c>
    </row>
    <row r="42" ht="36" customHeight="1" spans="1:19">
      <c r="A42" s="99"/>
      <c r="B42" s="96" t="s">
        <v>74</v>
      </c>
      <c r="C42" s="96" t="s">
        <v>75</v>
      </c>
      <c r="D42" s="96" t="s">
        <v>54</v>
      </c>
      <c r="E42" s="101" t="s">
        <v>76</v>
      </c>
      <c r="F42" s="97">
        <v>33.281</v>
      </c>
      <c r="G42" s="97">
        <v>33.873</v>
      </c>
      <c r="H42" s="97">
        <f t="shared" si="0"/>
        <v>0.591999999999999</v>
      </c>
      <c r="I42" s="96" t="s">
        <v>28</v>
      </c>
      <c r="J42" s="124">
        <v>7</v>
      </c>
      <c r="K42" s="96" t="s">
        <v>29</v>
      </c>
      <c r="L42" s="125" t="s">
        <v>22</v>
      </c>
      <c r="M42" s="96" t="s">
        <v>30</v>
      </c>
      <c r="N42" s="126">
        <f t="shared" ref="N42:N50" si="7">O42+P42</f>
        <v>78.6767999999998</v>
      </c>
      <c r="O42" s="127">
        <f t="shared" si="6"/>
        <v>49.0767999999999</v>
      </c>
      <c r="P42" s="128">
        <f t="shared" si="2"/>
        <v>29.5999999999999</v>
      </c>
      <c r="Q42" s="114">
        <v>2017</v>
      </c>
      <c r="R42" s="96" t="s">
        <v>56</v>
      </c>
      <c r="S42" s="114" t="s">
        <v>32</v>
      </c>
    </row>
    <row r="43" ht="30" customHeight="1" spans="1:19">
      <c r="A43" s="100"/>
      <c r="B43" s="96" t="s">
        <v>74</v>
      </c>
      <c r="C43" s="96" t="s">
        <v>75</v>
      </c>
      <c r="D43" s="96" t="s">
        <v>54</v>
      </c>
      <c r="E43" s="101" t="s">
        <v>76</v>
      </c>
      <c r="F43" s="97">
        <v>33.873</v>
      </c>
      <c r="G43" s="97">
        <v>35.92</v>
      </c>
      <c r="H43" s="97">
        <f t="shared" si="0"/>
        <v>2.047</v>
      </c>
      <c r="I43" s="96" t="s">
        <v>28</v>
      </c>
      <c r="J43" s="124">
        <v>7</v>
      </c>
      <c r="K43" s="96" t="s">
        <v>29</v>
      </c>
      <c r="L43" s="125" t="s">
        <v>22</v>
      </c>
      <c r="M43" s="96" t="s">
        <v>30</v>
      </c>
      <c r="N43" s="126">
        <f t="shared" si="7"/>
        <v>272.046300000001</v>
      </c>
      <c r="O43" s="127">
        <f t="shared" si="6"/>
        <v>169.6963</v>
      </c>
      <c r="P43" s="128">
        <f t="shared" si="2"/>
        <v>102.35</v>
      </c>
      <c r="Q43" s="114">
        <v>2017</v>
      </c>
      <c r="R43" s="96" t="s">
        <v>56</v>
      </c>
      <c r="S43" s="114" t="s">
        <v>32</v>
      </c>
    </row>
    <row r="44" ht="52" customHeight="1" spans="1:19">
      <c r="A44" s="87">
        <v>13</v>
      </c>
      <c r="B44" s="96" t="s">
        <v>77</v>
      </c>
      <c r="C44" s="96" t="s">
        <v>78</v>
      </c>
      <c r="D44" s="96" t="s">
        <v>26</v>
      </c>
      <c r="E44" s="96" t="s">
        <v>79</v>
      </c>
      <c r="F44" s="97">
        <v>196.461</v>
      </c>
      <c r="G44" s="97">
        <v>202.244</v>
      </c>
      <c r="H44" s="97">
        <f t="shared" si="0"/>
        <v>5.78299999999999</v>
      </c>
      <c r="I44" s="96" t="s">
        <v>36</v>
      </c>
      <c r="J44" s="124">
        <v>12</v>
      </c>
      <c r="K44" s="96" t="s">
        <v>43</v>
      </c>
      <c r="L44" s="125" t="s">
        <v>22</v>
      </c>
      <c r="M44" s="96" t="s">
        <v>80</v>
      </c>
      <c r="N44" s="126">
        <f t="shared" si="7"/>
        <v>1717.551</v>
      </c>
      <c r="O44" s="127">
        <f>$H44*$J44*0.1*(8*2+0.34*200+0.06*1150+0.04*1300)+$H44</f>
        <v>1428.401</v>
      </c>
      <c r="P44" s="128">
        <f t="shared" si="2"/>
        <v>289.149999999999</v>
      </c>
      <c r="Q44" s="114">
        <v>2017</v>
      </c>
      <c r="R44" s="96" t="s">
        <v>81</v>
      </c>
      <c r="S44" s="114" t="s">
        <v>32</v>
      </c>
    </row>
    <row r="45" ht="69.75" customHeight="1" spans="1:19">
      <c r="A45" s="87">
        <v>14</v>
      </c>
      <c r="B45" s="96" t="s">
        <v>82</v>
      </c>
      <c r="C45" s="96" t="s">
        <v>83</v>
      </c>
      <c r="D45" s="96" t="s">
        <v>26</v>
      </c>
      <c r="E45" s="102"/>
      <c r="F45" s="97" t="s">
        <v>84</v>
      </c>
      <c r="G45" s="97" t="s">
        <v>85</v>
      </c>
      <c r="H45" s="97">
        <v>7.443</v>
      </c>
      <c r="I45" s="96" t="s">
        <v>36</v>
      </c>
      <c r="J45" s="124">
        <v>9</v>
      </c>
      <c r="K45" s="96" t="s">
        <v>86</v>
      </c>
      <c r="L45" s="96" t="s">
        <v>22</v>
      </c>
      <c r="M45" s="96" t="s">
        <v>87</v>
      </c>
      <c r="N45" s="130">
        <f t="shared" si="7"/>
        <v>1689.3</v>
      </c>
      <c r="O45" s="130">
        <v>945</v>
      </c>
      <c r="P45" s="130">
        <f t="shared" ref="P45:P50" si="8">H45*100</f>
        <v>744.3</v>
      </c>
      <c r="Q45" s="133">
        <v>2017</v>
      </c>
      <c r="R45" s="136" t="s">
        <v>61</v>
      </c>
      <c r="S45" s="133" t="s">
        <v>88</v>
      </c>
    </row>
    <row r="46" ht="41.25" customHeight="1" spans="1:19">
      <c r="A46" s="87">
        <v>15</v>
      </c>
      <c r="B46" s="96" t="s">
        <v>89</v>
      </c>
      <c r="C46" s="96" t="s">
        <v>90</v>
      </c>
      <c r="D46" s="96" t="s">
        <v>54</v>
      </c>
      <c r="E46" s="102"/>
      <c r="F46" s="97">
        <v>0</v>
      </c>
      <c r="G46" s="97">
        <v>35.492</v>
      </c>
      <c r="H46" s="97">
        <f t="shared" ref="H46:H50" si="9">G46-F46</f>
        <v>35.492</v>
      </c>
      <c r="I46" s="96" t="s">
        <v>28</v>
      </c>
      <c r="J46" s="124">
        <v>6.5</v>
      </c>
      <c r="K46" s="96" t="s">
        <v>91</v>
      </c>
      <c r="L46" s="96" t="s">
        <v>22</v>
      </c>
      <c r="M46" s="96" t="s">
        <v>92</v>
      </c>
      <c r="N46" s="130">
        <f t="shared" si="7"/>
        <v>6129.2</v>
      </c>
      <c r="O46" s="130">
        <v>2580</v>
      </c>
      <c r="P46" s="130">
        <f t="shared" si="8"/>
        <v>3549.2</v>
      </c>
      <c r="Q46" s="133">
        <v>2017</v>
      </c>
      <c r="R46" s="136" t="s">
        <v>93</v>
      </c>
      <c r="S46" s="133" t="s">
        <v>88</v>
      </c>
    </row>
    <row r="47" ht="32.25" customHeight="1" spans="1:19">
      <c r="A47" s="87">
        <v>16</v>
      </c>
      <c r="B47" s="103" t="s">
        <v>40</v>
      </c>
      <c r="C47" s="103" t="s">
        <v>41</v>
      </c>
      <c r="D47" s="103" t="s">
        <v>26</v>
      </c>
      <c r="E47" s="102"/>
      <c r="F47" s="97" t="s">
        <v>94</v>
      </c>
      <c r="G47" s="97" t="s">
        <v>95</v>
      </c>
      <c r="H47" s="97">
        <v>7.8</v>
      </c>
      <c r="I47" s="96" t="s">
        <v>36</v>
      </c>
      <c r="J47" s="124">
        <v>9</v>
      </c>
      <c r="K47" s="96" t="s">
        <v>86</v>
      </c>
      <c r="L47" s="96" t="s">
        <v>23</v>
      </c>
      <c r="M47" s="96" t="s">
        <v>96</v>
      </c>
      <c r="N47" s="130">
        <f t="shared" si="7"/>
        <v>2077</v>
      </c>
      <c r="O47" s="130">
        <v>1297</v>
      </c>
      <c r="P47" s="130">
        <f t="shared" si="8"/>
        <v>780</v>
      </c>
      <c r="Q47" s="133">
        <v>2017</v>
      </c>
      <c r="R47" s="136" t="s">
        <v>45</v>
      </c>
      <c r="S47" s="96" t="s">
        <v>97</v>
      </c>
    </row>
    <row r="48" ht="105.75" customHeight="1" spans="1:19">
      <c r="A48" s="87">
        <v>17</v>
      </c>
      <c r="B48" s="96" t="s">
        <v>82</v>
      </c>
      <c r="C48" s="96" t="s">
        <v>78</v>
      </c>
      <c r="D48" s="96" t="s">
        <v>26</v>
      </c>
      <c r="E48" s="102"/>
      <c r="F48" s="97" t="s">
        <v>98</v>
      </c>
      <c r="G48" s="97" t="s">
        <v>99</v>
      </c>
      <c r="H48" s="97">
        <v>17.021</v>
      </c>
      <c r="I48" s="96" t="s">
        <v>36</v>
      </c>
      <c r="J48" s="124">
        <v>9</v>
      </c>
      <c r="K48" s="96" t="s">
        <v>91</v>
      </c>
      <c r="L48" s="96" t="s">
        <v>22</v>
      </c>
      <c r="M48" s="96" t="s">
        <v>100</v>
      </c>
      <c r="N48" s="130">
        <f t="shared" si="7"/>
        <v>4042.1</v>
      </c>
      <c r="O48" s="130">
        <v>2340</v>
      </c>
      <c r="P48" s="130">
        <f t="shared" si="8"/>
        <v>1702.1</v>
      </c>
      <c r="Q48" s="114">
        <v>2017</v>
      </c>
      <c r="R48" s="136" t="s">
        <v>101</v>
      </c>
      <c r="S48" s="133" t="s">
        <v>88</v>
      </c>
    </row>
    <row r="49" ht="39.75" customHeight="1" spans="1:19">
      <c r="A49" s="87">
        <v>18</v>
      </c>
      <c r="B49" s="96" t="s">
        <v>102</v>
      </c>
      <c r="C49" s="96" t="s">
        <v>103</v>
      </c>
      <c r="D49" s="96" t="s">
        <v>54</v>
      </c>
      <c r="E49" s="102"/>
      <c r="F49" s="97">
        <v>28.8</v>
      </c>
      <c r="G49" s="97">
        <v>38.3</v>
      </c>
      <c r="H49" s="97">
        <f t="shared" si="9"/>
        <v>9.5</v>
      </c>
      <c r="I49" s="96" t="s">
        <v>36</v>
      </c>
      <c r="J49" s="124">
        <v>6</v>
      </c>
      <c r="K49" s="96" t="s">
        <v>86</v>
      </c>
      <c r="L49" s="96" t="s">
        <v>22</v>
      </c>
      <c r="M49" s="96" t="s">
        <v>104</v>
      </c>
      <c r="N49" s="130">
        <f t="shared" si="7"/>
        <v>1400</v>
      </c>
      <c r="O49" s="103">
        <v>450</v>
      </c>
      <c r="P49" s="130">
        <f t="shared" si="8"/>
        <v>950</v>
      </c>
      <c r="Q49" s="114">
        <v>2017</v>
      </c>
      <c r="R49" s="96" t="s">
        <v>61</v>
      </c>
      <c r="S49" s="133" t="s">
        <v>88</v>
      </c>
    </row>
    <row r="50" ht="31.5" customHeight="1" spans="1:19">
      <c r="A50" s="87">
        <v>19</v>
      </c>
      <c r="B50" s="96" t="s">
        <v>105</v>
      </c>
      <c r="C50" s="96" t="s">
        <v>106</v>
      </c>
      <c r="D50" s="96" t="s">
        <v>54</v>
      </c>
      <c r="E50" s="104"/>
      <c r="F50" s="97">
        <v>8</v>
      </c>
      <c r="G50" s="97">
        <v>19</v>
      </c>
      <c r="H50" s="97">
        <f t="shared" si="9"/>
        <v>11</v>
      </c>
      <c r="I50" s="96" t="s">
        <v>28</v>
      </c>
      <c r="J50" s="124">
        <v>6</v>
      </c>
      <c r="K50" s="96" t="s">
        <v>86</v>
      </c>
      <c r="L50" s="96" t="s">
        <v>22</v>
      </c>
      <c r="M50" s="96" t="s">
        <v>107</v>
      </c>
      <c r="N50" s="130">
        <f t="shared" si="7"/>
        <v>2275</v>
      </c>
      <c r="O50" s="103">
        <v>1175</v>
      </c>
      <c r="P50" s="130">
        <f t="shared" si="8"/>
        <v>1100</v>
      </c>
      <c r="Q50" s="114">
        <v>2017</v>
      </c>
      <c r="R50" s="96" t="s">
        <v>81</v>
      </c>
      <c r="S50" s="137"/>
    </row>
    <row r="51" ht="48" customHeight="1" spans="1:19">
      <c r="A51" s="98">
        <v>20</v>
      </c>
      <c r="B51" s="105" t="s">
        <v>108</v>
      </c>
      <c r="C51" s="105" t="s">
        <v>78</v>
      </c>
      <c r="D51" s="106" t="s">
        <v>26</v>
      </c>
      <c r="E51" s="107" t="s">
        <v>109</v>
      </c>
      <c r="F51" s="108">
        <v>4</v>
      </c>
      <c r="G51" s="109">
        <v>23</v>
      </c>
      <c r="H51" s="109">
        <f t="shared" ref="H51:H57" si="10">G51-F51</f>
        <v>19</v>
      </c>
      <c r="I51" s="114" t="s">
        <v>36</v>
      </c>
      <c r="J51" s="131">
        <v>9</v>
      </c>
      <c r="K51" s="114" t="s">
        <v>110</v>
      </c>
      <c r="L51" s="114" t="s">
        <v>22</v>
      </c>
      <c r="M51" s="96" t="s">
        <v>111</v>
      </c>
      <c r="N51" s="132">
        <f t="shared" ref="N51:N57" si="11">O51+P51</f>
        <v>4954.25</v>
      </c>
      <c r="O51" s="103">
        <f>(H51*1000*J51*(0.3*200+8+0.05*1150+0.04*1300)+H51*10000)/10000</f>
        <v>3054.25</v>
      </c>
      <c r="P51" s="133">
        <f t="shared" ref="P51:P57" si="12">H51*100</f>
        <v>1900</v>
      </c>
      <c r="Q51" s="114">
        <v>2017</v>
      </c>
      <c r="R51" s="114" t="s">
        <v>112</v>
      </c>
      <c r="S51" s="133" t="s">
        <v>113</v>
      </c>
    </row>
    <row r="52" ht="31" customHeight="1" spans="1:19">
      <c r="A52" s="99"/>
      <c r="B52" s="105" t="s">
        <v>108</v>
      </c>
      <c r="C52" s="105" t="s">
        <v>78</v>
      </c>
      <c r="D52" s="110" t="s">
        <v>26</v>
      </c>
      <c r="E52" s="111"/>
      <c r="F52" s="108">
        <v>23</v>
      </c>
      <c r="G52" s="109">
        <v>25.56</v>
      </c>
      <c r="H52" s="109">
        <f t="shared" si="10"/>
        <v>2.56</v>
      </c>
      <c r="I52" s="114" t="s">
        <v>36</v>
      </c>
      <c r="J52" s="131">
        <v>7</v>
      </c>
      <c r="K52" s="114" t="s">
        <v>110</v>
      </c>
      <c r="L52" s="114" t="s">
        <v>22</v>
      </c>
      <c r="M52" s="114" t="s">
        <v>114</v>
      </c>
      <c r="N52" s="132">
        <f t="shared" si="11"/>
        <v>539.904</v>
      </c>
      <c r="O52" s="103">
        <f>(H52*1000*J52*(0.2*200+0.26*450)+H52*10000)/10000</f>
        <v>283.904</v>
      </c>
      <c r="P52" s="133">
        <f t="shared" si="12"/>
        <v>256</v>
      </c>
      <c r="Q52" s="114">
        <v>2017</v>
      </c>
      <c r="R52" s="114" t="s">
        <v>112</v>
      </c>
      <c r="S52" s="133" t="s">
        <v>113</v>
      </c>
    </row>
    <row r="53" ht="28" customHeight="1" spans="1:19">
      <c r="A53" s="99"/>
      <c r="B53" s="105" t="s">
        <v>108</v>
      </c>
      <c r="C53" s="105" t="s">
        <v>78</v>
      </c>
      <c r="D53" s="110" t="s">
        <v>26</v>
      </c>
      <c r="E53" s="111"/>
      <c r="F53" s="108">
        <v>25.56</v>
      </c>
      <c r="G53" s="109">
        <v>26.55</v>
      </c>
      <c r="H53" s="109">
        <f t="shared" si="10"/>
        <v>0.990000000000002</v>
      </c>
      <c r="I53" s="114" t="s">
        <v>36</v>
      </c>
      <c r="J53" s="131">
        <v>7</v>
      </c>
      <c r="K53" s="101" t="s">
        <v>43</v>
      </c>
      <c r="L53" s="114" t="s">
        <v>22</v>
      </c>
      <c r="M53" s="114" t="s">
        <v>115</v>
      </c>
      <c r="N53" s="132">
        <f t="shared" si="11"/>
        <v>214.335</v>
      </c>
      <c r="O53" s="103">
        <f>(H53*1000*J53*(8+0.2*200+0.26*450)+H53*10000)/10000</f>
        <v>115.335</v>
      </c>
      <c r="P53" s="133">
        <f t="shared" si="12"/>
        <v>99.0000000000002</v>
      </c>
      <c r="Q53" s="114">
        <v>2017</v>
      </c>
      <c r="R53" s="114" t="s">
        <v>112</v>
      </c>
      <c r="S53" s="133" t="s">
        <v>113</v>
      </c>
    </row>
    <row r="54" ht="27" customHeight="1" spans="1:19">
      <c r="A54" s="99"/>
      <c r="B54" s="105" t="s">
        <v>108</v>
      </c>
      <c r="C54" s="105" t="s">
        <v>78</v>
      </c>
      <c r="D54" s="110" t="s">
        <v>26</v>
      </c>
      <c r="E54" s="111"/>
      <c r="F54" s="108">
        <v>26.55</v>
      </c>
      <c r="G54" s="109">
        <v>31.4</v>
      </c>
      <c r="H54" s="109">
        <f t="shared" si="10"/>
        <v>4.85</v>
      </c>
      <c r="I54" s="114" t="s">
        <v>36</v>
      </c>
      <c r="J54" s="131">
        <v>7</v>
      </c>
      <c r="K54" s="114" t="s">
        <v>110</v>
      </c>
      <c r="L54" s="114" t="s">
        <v>22</v>
      </c>
      <c r="M54" s="114" t="s">
        <v>114</v>
      </c>
      <c r="N54" s="132">
        <f t="shared" si="11"/>
        <v>1022.865</v>
      </c>
      <c r="O54" s="103">
        <f>(H54*1000*J54*(0.2*200+0.26*450)+H54*10000)/10000</f>
        <v>537.865</v>
      </c>
      <c r="P54" s="133">
        <f t="shared" si="12"/>
        <v>485</v>
      </c>
      <c r="Q54" s="114">
        <v>2017</v>
      </c>
      <c r="R54" s="114" t="s">
        <v>112</v>
      </c>
      <c r="S54" s="133" t="s">
        <v>113</v>
      </c>
    </row>
    <row r="55" ht="43" customHeight="1" spans="1:19">
      <c r="A55" s="100"/>
      <c r="B55" s="105" t="s">
        <v>108</v>
      </c>
      <c r="C55" s="105" t="s">
        <v>78</v>
      </c>
      <c r="D55" s="112" t="s">
        <v>26</v>
      </c>
      <c r="E55" s="113"/>
      <c r="F55" s="108">
        <v>31.4</v>
      </c>
      <c r="G55" s="109">
        <v>35.5</v>
      </c>
      <c r="H55" s="109">
        <f t="shared" si="10"/>
        <v>4.1</v>
      </c>
      <c r="I55" s="114" t="s">
        <v>36</v>
      </c>
      <c r="J55" s="131">
        <v>7</v>
      </c>
      <c r="K55" s="114" t="s">
        <v>110</v>
      </c>
      <c r="L55" s="114" t="s">
        <v>22</v>
      </c>
      <c r="M55" s="96" t="s">
        <v>111</v>
      </c>
      <c r="N55" s="132">
        <f t="shared" si="11"/>
        <v>923.525</v>
      </c>
      <c r="O55" s="103">
        <f>(H55*1000*J55*(0.3*200+8+0.05*1150+0.04*1300)+H55*10000)/10000</f>
        <v>513.525</v>
      </c>
      <c r="P55" s="133">
        <f t="shared" si="12"/>
        <v>410</v>
      </c>
      <c r="Q55" s="114">
        <v>2017</v>
      </c>
      <c r="R55" s="114" t="s">
        <v>112</v>
      </c>
      <c r="S55" s="133" t="s">
        <v>113</v>
      </c>
    </row>
    <row r="56" ht="61" customHeight="1" spans="1:19">
      <c r="A56" s="87">
        <v>21</v>
      </c>
      <c r="B56" s="114" t="s">
        <v>116</v>
      </c>
      <c r="C56" s="114" t="s">
        <v>78</v>
      </c>
      <c r="D56" s="102" t="s">
        <v>26</v>
      </c>
      <c r="E56" s="115" t="s">
        <v>117</v>
      </c>
      <c r="F56" s="109">
        <v>139.187</v>
      </c>
      <c r="G56" s="109">
        <v>156.987</v>
      </c>
      <c r="H56" s="109">
        <f t="shared" si="10"/>
        <v>17.8</v>
      </c>
      <c r="I56" s="114" t="s">
        <v>36</v>
      </c>
      <c r="J56" s="131">
        <v>12</v>
      </c>
      <c r="K56" s="114" t="s">
        <v>110</v>
      </c>
      <c r="L56" s="114" t="s">
        <v>22</v>
      </c>
      <c r="M56" s="96" t="s">
        <v>118</v>
      </c>
      <c r="N56" s="132">
        <f t="shared" si="11"/>
        <v>5920.27999999999</v>
      </c>
      <c r="O56" s="103">
        <f>(H56*1000*J56*(0.32*200+8+0.06*1150+0.04*1300)+H56*10000)/10000</f>
        <v>4140.28</v>
      </c>
      <c r="P56" s="114">
        <f t="shared" si="12"/>
        <v>1780</v>
      </c>
      <c r="Q56" s="114">
        <v>2017</v>
      </c>
      <c r="R56" s="114" t="s">
        <v>119</v>
      </c>
      <c r="S56" s="114" t="s">
        <v>113</v>
      </c>
    </row>
    <row r="57" ht="57" customHeight="1" spans="1:19">
      <c r="A57" s="87">
        <v>22</v>
      </c>
      <c r="B57" s="114" t="s">
        <v>116</v>
      </c>
      <c r="C57" s="114" t="s">
        <v>120</v>
      </c>
      <c r="D57" s="102" t="s">
        <v>26</v>
      </c>
      <c r="E57" s="96" t="s">
        <v>121</v>
      </c>
      <c r="F57" s="109">
        <v>9.6</v>
      </c>
      <c r="G57" s="109">
        <v>31.783</v>
      </c>
      <c r="H57" s="109">
        <f t="shared" si="10"/>
        <v>22.183</v>
      </c>
      <c r="I57" s="114" t="s">
        <v>36</v>
      </c>
      <c r="J57" s="131">
        <v>7</v>
      </c>
      <c r="K57" s="114" t="s">
        <v>110</v>
      </c>
      <c r="L57" s="114" t="s">
        <v>22</v>
      </c>
      <c r="M57" s="96" t="s">
        <v>37</v>
      </c>
      <c r="N57" s="134">
        <f t="shared" si="11"/>
        <v>5175.2939</v>
      </c>
      <c r="O57" s="103">
        <f>(H57*1000*J57*(0.3*200+8+0.06*1150+0.04*1300)+H57*10000)/10000</f>
        <v>2956.9939</v>
      </c>
      <c r="P57" s="114">
        <f t="shared" si="12"/>
        <v>2218.3</v>
      </c>
      <c r="Q57" s="114">
        <v>2017</v>
      </c>
      <c r="R57" s="114" t="s">
        <v>81</v>
      </c>
      <c r="S57" s="114" t="s">
        <v>113</v>
      </c>
    </row>
    <row r="58" ht="33.75" customHeight="1" spans="1:21">
      <c r="A58" s="87">
        <v>23</v>
      </c>
      <c r="B58" s="96" t="s">
        <v>40</v>
      </c>
      <c r="C58" s="96" t="s">
        <v>46</v>
      </c>
      <c r="D58" s="102" t="s">
        <v>26</v>
      </c>
      <c r="E58" s="102"/>
      <c r="F58" s="116">
        <v>112.4</v>
      </c>
      <c r="G58" s="116">
        <v>113</v>
      </c>
      <c r="H58" s="97">
        <f t="shared" ref="H58:H72" si="13">G58-F58</f>
        <v>0.599999999999994</v>
      </c>
      <c r="I58" s="96" t="s">
        <v>28</v>
      </c>
      <c r="J58" s="124">
        <v>7</v>
      </c>
      <c r="K58" s="96" t="s">
        <v>110</v>
      </c>
      <c r="L58" s="96" t="s">
        <v>22</v>
      </c>
      <c r="M58" s="96" t="s">
        <v>122</v>
      </c>
      <c r="N58" s="126">
        <f t="shared" ref="N58:N72" si="14">O58+P58</f>
        <v>88.1399999999992</v>
      </c>
      <c r="O58" s="126">
        <v>58.1399999999994</v>
      </c>
      <c r="P58" s="128">
        <f t="shared" ref="P58:P72" si="15">50*H58</f>
        <v>29.9999999999997</v>
      </c>
      <c r="Q58" s="96">
        <v>2017</v>
      </c>
      <c r="R58" s="96" t="s">
        <v>31</v>
      </c>
      <c r="S58" s="96" t="s">
        <v>123</v>
      </c>
      <c r="T58" s="80">
        <f>SUMIF(S10:S95,"争取17年计划",H10:H95)</f>
        <v>117.762</v>
      </c>
      <c r="U58" s="80">
        <f>SUMIF(S10:S95,"高速公路损毁恢复",H10:H95)</f>
        <v>7.917</v>
      </c>
    </row>
    <row r="59" ht="49" customHeight="1" spans="1:19">
      <c r="A59" s="87">
        <v>24</v>
      </c>
      <c r="B59" s="96" t="s">
        <v>124</v>
      </c>
      <c r="C59" s="96" t="s">
        <v>124</v>
      </c>
      <c r="D59" s="102" t="s">
        <v>125</v>
      </c>
      <c r="E59" s="102"/>
      <c r="F59" s="116">
        <v>194</v>
      </c>
      <c r="G59" s="116">
        <v>198.946</v>
      </c>
      <c r="H59" s="97">
        <f t="shared" si="13"/>
        <v>4.946</v>
      </c>
      <c r="I59" s="96" t="s">
        <v>36</v>
      </c>
      <c r="J59" s="124">
        <v>9</v>
      </c>
      <c r="K59" s="96" t="s">
        <v>126</v>
      </c>
      <c r="L59" s="125" t="s">
        <v>22</v>
      </c>
      <c r="M59" s="96" t="s">
        <v>127</v>
      </c>
      <c r="N59" s="126">
        <f t="shared" si="14"/>
        <v>1129.1718</v>
      </c>
      <c r="O59" s="126">
        <v>881.8718</v>
      </c>
      <c r="P59" s="128">
        <f t="shared" si="15"/>
        <v>247.3</v>
      </c>
      <c r="Q59" s="96">
        <v>2017</v>
      </c>
      <c r="R59" s="96" t="s">
        <v>128</v>
      </c>
      <c r="S59" s="96" t="s">
        <v>123</v>
      </c>
    </row>
    <row r="60" ht="42" customHeight="1" spans="1:19">
      <c r="A60" s="87"/>
      <c r="B60" s="96" t="s">
        <v>124</v>
      </c>
      <c r="C60" s="96" t="s">
        <v>124</v>
      </c>
      <c r="D60" s="102" t="s">
        <v>125</v>
      </c>
      <c r="E60" s="102"/>
      <c r="F60" s="116">
        <v>200.489</v>
      </c>
      <c r="G60" s="116">
        <v>214.5</v>
      </c>
      <c r="H60" s="97">
        <f t="shared" si="13"/>
        <v>14.011</v>
      </c>
      <c r="I60" s="96" t="s">
        <v>36</v>
      </c>
      <c r="J60" s="124">
        <v>9</v>
      </c>
      <c r="K60" s="96" t="s">
        <v>126</v>
      </c>
      <c r="L60" s="125" t="s">
        <v>22</v>
      </c>
      <c r="M60" s="96" t="s">
        <v>127</v>
      </c>
      <c r="N60" s="126">
        <f t="shared" si="14"/>
        <v>3198.7113</v>
      </c>
      <c r="O60" s="126">
        <v>2498.1613</v>
      </c>
      <c r="P60" s="128">
        <f t="shared" si="15"/>
        <v>700.55</v>
      </c>
      <c r="Q60" s="96">
        <v>2017</v>
      </c>
      <c r="R60" s="96" t="s">
        <v>128</v>
      </c>
      <c r="S60" s="96" t="s">
        <v>123</v>
      </c>
    </row>
    <row r="61" ht="43" customHeight="1" spans="1:19">
      <c r="A61" s="87">
        <v>25</v>
      </c>
      <c r="B61" s="96" t="s">
        <v>124</v>
      </c>
      <c r="C61" s="96" t="s">
        <v>124</v>
      </c>
      <c r="D61" s="102" t="s">
        <v>125</v>
      </c>
      <c r="E61" s="102"/>
      <c r="F61" s="116">
        <v>114.2</v>
      </c>
      <c r="G61" s="116">
        <v>116</v>
      </c>
      <c r="H61" s="97">
        <f t="shared" si="13"/>
        <v>1.8</v>
      </c>
      <c r="I61" s="96" t="s">
        <v>36</v>
      </c>
      <c r="J61" s="124">
        <v>12</v>
      </c>
      <c r="K61" s="96" t="s">
        <v>110</v>
      </c>
      <c r="L61" s="125" t="s">
        <v>22</v>
      </c>
      <c r="M61" s="96" t="s">
        <v>37</v>
      </c>
      <c r="N61" s="126">
        <f t="shared" si="14"/>
        <v>500.039999999999</v>
      </c>
      <c r="O61" s="126">
        <v>410.039999999999</v>
      </c>
      <c r="P61" s="128">
        <f t="shared" si="15"/>
        <v>89.9999999999999</v>
      </c>
      <c r="Q61" s="96">
        <v>2017</v>
      </c>
      <c r="R61" s="96" t="s">
        <v>61</v>
      </c>
      <c r="S61" s="114" t="s">
        <v>129</v>
      </c>
    </row>
    <row r="62" ht="39" customHeight="1" spans="1:19">
      <c r="A62" s="87">
        <v>26</v>
      </c>
      <c r="B62" s="96" t="s">
        <v>102</v>
      </c>
      <c r="C62" s="96" t="s">
        <v>103</v>
      </c>
      <c r="D62" s="102" t="s">
        <v>54</v>
      </c>
      <c r="E62" s="102"/>
      <c r="F62" s="116">
        <v>24.809</v>
      </c>
      <c r="G62" s="116">
        <v>28.8</v>
      </c>
      <c r="H62" s="97">
        <f t="shared" si="13"/>
        <v>3.991</v>
      </c>
      <c r="I62" s="96" t="s">
        <v>28</v>
      </c>
      <c r="J62" s="124">
        <v>8</v>
      </c>
      <c r="K62" s="96" t="s">
        <v>110</v>
      </c>
      <c r="L62" s="125" t="s">
        <v>22</v>
      </c>
      <c r="M62" s="96" t="s">
        <v>72</v>
      </c>
      <c r="N62" s="126">
        <f t="shared" si="14"/>
        <v>640.9546</v>
      </c>
      <c r="O62" s="126">
        <v>441.4046</v>
      </c>
      <c r="P62" s="128">
        <f t="shared" si="15"/>
        <v>199.55</v>
      </c>
      <c r="Q62" s="96">
        <v>2017</v>
      </c>
      <c r="R62" s="96" t="s">
        <v>61</v>
      </c>
      <c r="S62" s="96" t="s">
        <v>123</v>
      </c>
    </row>
    <row r="63" ht="42" customHeight="1" spans="1:19">
      <c r="A63" s="87"/>
      <c r="B63" s="96" t="s">
        <v>102</v>
      </c>
      <c r="C63" s="96" t="s">
        <v>103</v>
      </c>
      <c r="D63" s="102" t="s">
        <v>54</v>
      </c>
      <c r="E63" s="102"/>
      <c r="F63" s="116">
        <v>38.3</v>
      </c>
      <c r="G63" s="116">
        <v>39.781</v>
      </c>
      <c r="H63" s="97">
        <f t="shared" si="13"/>
        <v>1.481</v>
      </c>
      <c r="I63" s="96" t="s">
        <v>28</v>
      </c>
      <c r="J63" s="124">
        <v>8</v>
      </c>
      <c r="K63" s="96" t="s">
        <v>110</v>
      </c>
      <c r="L63" s="125" t="s">
        <v>22</v>
      </c>
      <c r="M63" s="96" t="s">
        <v>72</v>
      </c>
      <c r="N63" s="126">
        <f t="shared" si="14"/>
        <v>237.8486</v>
      </c>
      <c r="O63" s="126">
        <v>163.7986</v>
      </c>
      <c r="P63" s="128">
        <f t="shared" si="15"/>
        <v>74.0500000000001</v>
      </c>
      <c r="Q63" s="96">
        <v>2017</v>
      </c>
      <c r="R63" s="96" t="s">
        <v>61</v>
      </c>
      <c r="S63" s="96" t="s">
        <v>123</v>
      </c>
    </row>
    <row r="64" ht="46" customHeight="1" spans="1:19">
      <c r="A64" s="87">
        <v>27</v>
      </c>
      <c r="B64" s="96" t="s">
        <v>130</v>
      </c>
      <c r="C64" s="96" t="s">
        <v>130</v>
      </c>
      <c r="D64" s="102" t="s">
        <v>125</v>
      </c>
      <c r="E64" s="102"/>
      <c r="F64" s="116">
        <v>1948.731</v>
      </c>
      <c r="G64" s="116">
        <v>1949.54</v>
      </c>
      <c r="H64" s="97">
        <f t="shared" si="13"/>
        <v>0.808999999999969</v>
      </c>
      <c r="I64" s="96" t="s">
        <v>36</v>
      </c>
      <c r="J64" s="124">
        <v>12</v>
      </c>
      <c r="K64" s="96" t="s">
        <v>126</v>
      </c>
      <c r="L64" s="96" t="s">
        <v>22</v>
      </c>
      <c r="M64" s="96" t="s">
        <v>131</v>
      </c>
      <c r="N64" s="126">
        <f t="shared" si="14"/>
        <v>232.506599999991</v>
      </c>
      <c r="O64" s="126">
        <v>192.056599999993</v>
      </c>
      <c r="P64" s="128">
        <f t="shared" si="15"/>
        <v>40.4499999999985</v>
      </c>
      <c r="Q64" s="96">
        <v>2017</v>
      </c>
      <c r="R64" s="96" t="s">
        <v>45</v>
      </c>
      <c r="S64" s="96" t="s">
        <v>123</v>
      </c>
    </row>
    <row r="65" ht="48" customHeight="1" spans="1:19">
      <c r="A65" s="87">
        <v>28</v>
      </c>
      <c r="B65" s="114" t="s">
        <v>132</v>
      </c>
      <c r="C65" s="114" t="s">
        <v>132</v>
      </c>
      <c r="D65" s="114" t="s">
        <v>125</v>
      </c>
      <c r="E65" s="102"/>
      <c r="F65" s="97" t="s">
        <v>133</v>
      </c>
      <c r="G65" s="97" t="s">
        <v>134</v>
      </c>
      <c r="H65" s="109">
        <f t="shared" si="13"/>
        <v>3.08699999999999</v>
      </c>
      <c r="I65" s="101" t="s">
        <v>65</v>
      </c>
      <c r="J65" s="101">
        <v>17</v>
      </c>
      <c r="K65" s="101" t="s">
        <v>43</v>
      </c>
      <c r="L65" s="96" t="s">
        <v>22</v>
      </c>
      <c r="M65" s="96" t="s">
        <v>44</v>
      </c>
      <c r="N65" s="134">
        <f t="shared" si="14"/>
        <v>1192.8168</v>
      </c>
      <c r="O65" s="114">
        <f t="shared" ref="O65:O69" si="16">(H65*1000*J65*(8+0.3*200+8+0.06*1150+0.04*1300)+H65*15000)/10000</f>
        <v>1038.4668</v>
      </c>
      <c r="P65" s="103">
        <f t="shared" si="15"/>
        <v>154.349999999999</v>
      </c>
      <c r="Q65" s="114">
        <v>2017</v>
      </c>
      <c r="R65" s="96" t="s">
        <v>119</v>
      </c>
      <c r="S65" s="96" t="s">
        <v>123</v>
      </c>
    </row>
    <row r="66" ht="48" customHeight="1" spans="1:19">
      <c r="A66" s="87"/>
      <c r="B66" s="114" t="s">
        <v>132</v>
      </c>
      <c r="C66" s="114" t="s">
        <v>132</v>
      </c>
      <c r="D66" s="114" t="s">
        <v>125</v>
      </c>
      <c r="E66" s="102"/>
      <c r="F66" s="97" t="s">
        <v>134</v>
      </c>
      <c r="G66" s="97" t="s">
        <v>135</v>
      </c>
      <c r="H66" s="109">
        <f t="shared" si="13"/>
        <v>1.53099999999995</v>
      </c>
      <c r="I66" s="101" t="s">
        <v>65</v>
      </c>
      <c r="J66" s="101">
        <v>17</v>
      </c>
      <c r="K66" s="101" t="s">
        <v>43</v>
      </c>
      <c r="L66" s="96" t="s">
        <v>22</v>
      </c>
      <c r="M66" s="96" t="s">
        <v>44</v>
      </c>
      <c r="N66" s="134">
        <f t="shared" si="14"/>
        <v>591.57839999998</v>
      </c>
      <c r="O66" s="114">
        <f t="shared" si="16"/>
        <v>515.028399999983</v>
      </c>
      <c r="P66" s="103">
        <f t="shared" si="15"/>
        <v>76.5499999999975</v>
      </c>
      <c r="Q66" s="114">
        <v>2017</v>
      </c>
      <c r="R66" s="96" t="s">
        <v>119</v>
      </c>
      <c r="S66" s="96" t="s">
        <v>123</v>
      </c>
    </row>
    <row r="67" ht="44.25" customHeight="1" spans="1:19">
      <c r="A67" s="87"/>
      <c r="B67" s="114" t="s">
        <v>132</v>
      </c>
      <c r="C67" s="114" t="s">
        <v>132</v>
      </c>
      <c r="D67" s="114" t="s">
        <v>125</v>
      </c>
      <c r="E67" s="102"/>
      <c r="F67" s="97" t="s">
        <v>135</v>
      </c>
      <c r="G67" s="97" t="s">
        <v>136</v>
      </c>
      <c r="H67" s="109">
        <f t="shared" si="13"/>
        <v>5.18199999999979</v>
      </c>
      <c r="I67" s="101" t="s">
        <v>65</v>
      </c>
      <c r="J67" s="101">
        <v>17</v>
      </c>
      <c r="K67" s="101" t="s">
        <v>43</v>
      </c>
      <c r="L67" s="96" t="s">
        <v>22</v>
      </c>
      <c r="M67" s="96" t="s">
        <v>44</v>
      </c>
      <c r="N67" s="134">
        <f t="shared" si="14"/>
        <v>2002.32479999992</v>
      </c>
      <c r="O67" s="114">
        <f t="shared" si="16"/>
        <v>1743.22479999993</v>
      </c>
      <c r="P67" s="103">
        <f t="shared" si="15"/>
        <v>259.099999999989</v>
      </c>
      <c r="Q67" s="114">
        <v>2017</v>
      </c>
      <c r="R67" s="96" t="s">
        <v>119</v>
      </c>
      <c r="S67" s="96" t="s">
        <v>123</v>
      </c>
    </row>
    <row r="68" ht="45" customHeight="1" spans="1:19">
      <c r="A68" s="87"/>
      <c r="B68" s="114" t="s">
        <v>132</v>
      </c>
      <c r="C68" s="114" t="s">
        <v>132</v>
      </c>
      <c r="D68" s="114" t="s">
        <v>125</v>
      </c>
      <c r="E68" s="102"/>
      <c r="F68" s="97" t="s">
        <v>136</v>
      </c>
      <c r="G68" s="97" t="s">
        <v>137</v>
      </c>
      <c r="H68" s="109">
        <f t="shared" si="13"/>
        <v>5.5</v>
      </c>
      <c r="I68" s="101" t="s">
        <v>65</v>
      </c>
      <c r="J68" s="101">
        <v>17</v>
      </c>
      <c r="K68" s="101" t="s">
        <v>43</v>
      </c>
      <c r="L68" s="96" t="s">
        <v>22</v>
      </c>
      <c r="M68" s="96" t="s">
        <v>44</v>
      </c>
      <c r="N68" s="134">
        <f t="shared" si="14"/>
        <v>2125.2</v>
      </c>
      <c r="O68" s="114">
        <f t="shared" si="16"/>
        <v>1850.2</v>
      </c>
      <c r="P68" s="103">
        <f t="shared" si="15"/>
        <v>275</v>
      </c>
      <c r="Q68" s="114">
        <v>2017</v>
      </c>
      <c r="R68" s="96" t="s">
        <v>119</v>
      </c>
      <c r="S68" s="96" t="s">
        <v>123</v>
      </c>
    </row>
    <row r="69" ht="48" customHeight="1" spans="1:19">
      <c r="A69" s="87"/>
      <c r="B69" s="114" t="s">
        <v>132</v>
      </c>
      <c r="C69" s="114" t="s">
        <v>132</v>
      </c>
      <c r="D69" s="114" t="s">
        <v>125</v>
      </c>
      <c r="E69" s="102"/>
      <c r="F69" s="97" t="s">
        <v>137</v>
      </c>
      <c r="G69" s="97" t="s">
        <v>138</v>
      </c>
      <c r="H69" s="109">
        <f t="shared" si="13"/>
        <v>3.45000000000027</v>
      </c>
      <c r="I69" s="101" t="s">
        <v>65</v>
      </c>
      <c r="J69" s="101">
        <v>17</v>
      </c>
      <c r="K69" s="101" t="s">
        <v>43</v>
      </c>
      <c r="L69" s="96" t="s">
        <v>22</v>
      </c>
      <c r="M69" s="96" t="s">
        <v>44</v>
      </c>
      <c r="N69" s="134">
        <f t="shared" si="14"/>
        <v>1333.08000000011</v>
      </c>
      <c r="O69" s="114">
        <f t="shared" si="16"/>
        <v>1160.58000000009</v>
      </c>
      <c r="P69" s="103">
        <f t="shared" si="15"/>
        <v>172.500000000014</v>
      </c>
      <c r="Q69" s="114">
        <v>2017</v>
      </c>
      <c r="R69" s="96" t="s">
        <v>119</v>
      </c>
      <c r="S69" s="96" t="s">
        <v>123</v>
      </c>
    </row>
    <row r="70" ht="48" customHeight="1" spans="1:19">
      <c r="A70" s="87"/>
      <c r="B70" s="96" t="s">
        <v>132</v>
      </c>
      <c r="C70" s="96" t="s">
        <v>132</v>
      </c>
      <c r="D70" s="102" t="s">
        <v>125</v>
      </c>
      <c r="E70" s="102"/>
      <c r="F70" s="101">
        <v>2255.674</v>
      </c>
      <c r="G70" s="101">
        <v>2262.4</v>
      </c>
      <c r="H70" s="109">
        <f t="shared" si="13"/>
        <v>6.72600000000011</v>
      </c>
      <c r="I70" s="101" t="s">
        <v>65</v>
      </c>
      <c r="J70" s="101">
        <v>17</v>
      </c>
      <c r="K70" s="96" t="s">
        <v>126</v>
      </c>
      <c r="L70" s="96" t="s">
        <v>22</v>
      </c>
      <c r="M70" s="96" t="s">
        <v>44</v>
      </c>
      <c r="N70" s="126">
        <f t="shared" si="14"/>
        <v>2595.56340000004</v>
      </c>
      <c r="O70" s="126">
        <v>2259.26340000004</v>
      </c>
      <c r="P70" s="128">
        <f t="shared" si="15"/>
        <v>336.300000000006</v>
      </c>
      <c r="Q70" s="96">
        <v>2017</v>
      </c>
      <c r="R70" s="96" t="s">
        <v>119</v>
      </c>
      <c r="S70" s="96" t="s">
        <v>123</v>
      </c>
    </row>
    <row r="71" ht="51" customHeight="1" spans="1:19">
      <c r="A71" s="87">
        <v>29</v>
      </c>
      <c r="B71" s="96" t="s">
        <v>132</v>
      </c>
      <c r="C71" s="96" t="s">
        <v>132</v>
      </c>
      <c r="D71" s="102" t="s">
        <v>125</v>
      </c>
      <c r="E71" s="102"/>
      <c r="F71" s="116">
        <v>2141.146</v>
      </c>
      <c r="G71" s="101">
        <v>2141.948</v>
      </c>
      <c r="H71" s="97">
        <f t="shared" si="13"/>
        <v>0.80199999999968</v>
      </c>
      <c r="I71" s="96" t="s">
        <v>36</v>
      </c>
      <c r="J71" s="124">
        <v>9</v>
      </c>
      <c r="K71" s="96" t="s">
        <v>126</v>
      </c>
      <c r="L71" s="96" t="s">
        <v>22</v>
      </c>
      <c r="M71" s="96" t="s">
        <v>44</v>
      </c>
      <c r="N71" s="126">
        <f t="shared" si="14"/>
        <v>183.096599999927</v>
      </c>
      <c r="O71" s="126">
        <v>142.996599999943</v>
      </c>
      <c r="P71" s="128">
        <f t="shared" si="15"/>
        <v>40.099999999984</v>
      </c>
      <c r="Q71" s="96">
        <v>2017</v>
      </c>
      <c r="R71" s="96" t="s">
        <v>139</v>
      </c>
      <c r="S71" s="96" t="s">
        <v>123</v>
      </c>
    </row>
    <row r="72" ht="48" spans="1:19">
      <c r="A72" s="87">
        <v>30</v>
      </c>
      <c r="B72" s="103" t="s">
        <v>140</v>
      </c>
      <c r="C72" s="103" t="s">
        <v>140</v>
      </c>
      <c r="D72" s="103" t="s">
        <v>125</v>
      </c>
      <c r="E72" s="102"/>
      <c r="F72" s="97">
        <v>496.7</v>
      </c>
      <c r="G72" s="97">
        <v>499.65</v>
      </c>
      <c r="H72" s="97">
        <f t="shared" si="13"/>
        <v>2.94999999999999</v>
      </c>
      <c r="I72" s="96" t="s">
        <v>36</v>
      </c>
      <c r="J72" s="124">
        <v>12</v>
      </c>
      <c r="K72" s="96" t="s">
        <v>86</v>
      </c>
      <c r="L72" s="114" t="s">
        <v>22</v>
      </c>
      <c r="M72" s="96" t="s">
        <v>141</v>
      </c>
      <c r="N72" s="103">
        <f t="shared" si="14"/>
        <v>819.509999999997</v>
      </c>
      <c r="O72" s="103">
        <f>(H72*1000*J72*(0.3*200+8+0.06*1150+0.04*1300)+H72*10000)/10000</f>
        <v>672.009999999997</v>
      </c>
      <c r="P72" s="103">
        <f t="shared" si="15"/>
        <v>147.499999999999</v>
      </c>
      <c r="Q72" s="114">
        <v>2017</v>
      </c>
      <c r="R72" s="96" t="s">
        <v>67</v>
      </c>
      <c r="S72" s="114" t="s">
        <v>142</v>
      </c>
    </row>
    <row r="73" ht="42" customHeight="1" spans="1:19">
      <c r="A73" s="87">
        <v>31</v>
      </c>
      <c r="B73" s="96" t="s">
        <v>143</v>
      </c>
      <c r="C73" s="96" t="s">
        <v>34</v>
      </c>
      <c r="D73" s="102" t="s">
        <v>26</v>
      </c>
      <c r="E73" s="102"/>
      <c r="F73" s="138">
        <v>98.883</v>
      </c>
      <c r="G73" s="138">
        <v>105</v>
      </c>
      <c r="H73" s="116">
        <v>6.117</v>
      </c>
      <c r="I73" s="96" t="s">
        <v>36</v>
      </c>
      <c r="J73" s="96">
        <v>9</v>
      </c>
      <c r="K73" s="96" t="s">
        <v>29</v>
      </c>
      <c r="L73" s="96" t="s">
        <v>144</v>
      </c>
      <c r="M73" s="96" t="s">
        <v>145</v>
      </c>
      <c r="N73" s="141">
        <v>1363.326375</v>
      </c>
      <c r="O73" s="141">
        <f>H73*J73*0.1*(0.34*200+0.06*1150+0.04*1300+8)+H73*1</f>
        <v>1090.6611</v>
      </c>
      <c r="P73" s="142">
        <f>N73-O73</f>
        <v>272.665275</v>
      </c>
      <c r="Q73" s="114">
        <v>2017</v>
      </c>
      <c r="R73" s="96" t="s">
        <v>67</v>
      </c>
      <c r="S73" s="114" t="s">
        <v>129</v>
      </c>
    </row>
    <row r="74" ht="36" customHeight="1" spans="1:19">
      <c r="A74" s="87"/>
      <c r="B74" s="96" t="s">
        <v>143</v>
      </c>
      <c r="C74" s="96" t="s">
        <v>34</v>
      </c>
      <c r="D74" s="102" t="s">
        <v>26</v>
      </c>
      <c r="E74" s="102"/>
      <c r="F74" s="116">
        <v>110.2</v>
      </c>
      <c r="G74" s="116">
        <v>113.838</v>
      </c>
      <c r="H74" s="97">
        <f t="shared" ref="H74:H95" si="17">G74-F74</f>
        <v>3.63799999999999</v>
      </c>
      <c r="I74" s="96" t="s">
        <v>36</v>
      </c>
      <c r="J74" s="124">
        <v>9</v>
      </c>
      <c r="K74" s="96" t="s">
        <v>110</v>
      </c>
      <c r="L74" s="96" t="s">
        <v>22</v>
      </c>
      <c r="M74" s="96" t="s">
        <v>122</v>
      </c>
      <c r="N74" s="126">
        <f t="shared" ref="N74:N79" si="18">O74+P74</f>
        <v>804.361799999998</v>
      </c>
      <c r="O74" s="126">
        <v>622.461799999999</v>
      </c>
      <c r="P74" s="128">
        <f t="shared" ref="P74:P95" si="19">50*H74</f>
        <v>181.9</v>
      </c>
      <c r="Q74" s="96">
        <v>2017</v>
      </c>
      <c r="R74" s="96" t="s">
        <v>67</v>
      </c>
      <c r="S74" s="96" t="s">
        <v>123</v>
      </c>
    </row>
    <row r="75" ht="48" customHeight="1" spans="1:19">
      <c r="A75" s="87">
        <v>32</v>
      </c>
      <c r="B75" s="96" t="s">
        <v>62</v>
      </c>
      <c r="C75" s="96" t="s">
        <v>63</v>
      </c>
      <c r="D75" s="102" t="s">
        <v>26</v>
      </c>
      <c r="E75" s="102"/>
      <c r="F75" s="116">
        <v>20</v>
      </c>
      <c r="G75" s="116">
        <v>23</v>
      </c>
      <c r="H75" s="97">
        <f t="shared" si="17"/>
        <v>3</v>
      </c>
      <c r="I75" s="96" t="s">
        <v>65</v>
      </c>
      <c r="J75" s="124">
        <v>15</v>
      </c>
      <c r="K75" s="96" t="s">
        <v>126</v>
      </c>
      <c r="L75" s="96" t="s">
        <v>22</v>
      </c>
      <c r="M75" s="96" t="s">
        <v>66</v>
      </c>
      <c r="N75" s="126">
        <f t="shared" si="18"/>
        <v>1203</v>
      </c>
      <c r="O75" s="126">
        <v>1053</v>
      </c>
      <c r="P75" s="128">
        <f t="shared" si="19"/>
        <v>150</v>
      </c>
      <c r="Q75" s="96">
        <v>2017</v>
      </c>
      <c r="R75" s="96" t="s">
        <v>67</v>
      </c>
      <c r="S75" s="96" t="s">
        <v>123</v>
      </c>
    </row>
    <row r="76" ht="46" customHeight="1" spans="1:19">
      <c r="A76" s="87">
        <v>33</v>
      </c>
      <c r="B76" s="101" t="s">
        <v>130</v>
      </c>
      <c r="C76" s="101" t="s">
        <v>130</v>
      </c>
      <c r="D76" s="114" t="s">
        <v>125</v>
      </c>
      <c r="E76" s="102"/>
      <c r="F76" s="97" t="s">
        <v>146</v>
      </c>
      <c r="G76" s="97">
        <v>1897</v>
      </c>
      <c r="H76" s="109">
        <f t="shared" si="17"/>
        <v>1.28500000000008</v>
      </c>
      <c r="I76" s="101" t="s">
        <v>36</v>
      </c>
      <c r="J76" s="101">
        <v>9</v>
      </c>
      <c r="K76" s="101" t="s">
        <v>43</v>
      </c>
      <c r="L76" s="96" t="s">
        <v>22</v>
      </c>
      <c r="M76" s="96" t="s">
        <v>44</v>
      </c>
      <c r="N76" s="134">
        <f t="shared" si="18"/>
        <v>293.365500000019</v>
      </c>
      <c r="O76" s="114">
        <f t="shared" ref="O76:O79" si="20">(H76*1000*J76*(8+0.3*200+8+0.06*1150+0.04*1300)+H76*10000)/10000</f>
        <v>229.115500000015</v>
      </c>
      <c r="P76" s="103">
        <f t="shared" si="19"/>
        <v>64.2500000000041</v>
      </c>
      <c r="Q76" s="114">
        <v>2017</v>
      </c>
      <c r="R76" s="114" t="s">
        <v>147</v>
      </c>
      <c r="S76" s="96" t="s">
        <v>123</v>
      </c>
    </row>
    <row r="77" ht="45" customHeight="1" spans="1:19">
      <c r="A77" s="87"/>
      <c r="B77" s="101" t="s">
        <v>130</v>
      </c>
      <c r="C77" s="101" t="s">
        <v>130</v>
      </c>
      <c r="D77" s="114" t="s">
        <v>125</v>
      </c>
      <c r="E77" s="102"/>
      <c r="F77" s="97">
        <v>1899</v>
      </c>
      <c r="G77" s="97">
        <v>1906</v>
      </c>
      <c r="H77" s="109">
        <f t="shared" si="17"/>
        <v>7</v>
      </c>
      <c r="I77" s="101" t="s">
        <v>36</v>
      </c>
      <c r="J77" s="101">
        <v>9</v>
      </c>
      <c r="K77" s="101" t="s">
        <v>43</v>
      </c>
      <c r="L77" s="96" t="s">
        <v>22</v>
      </c>
      <c r="M77" s="96" t="s">
        <v>44</v>
      </c>
      <c r="N77" s="134">
        <f t="shared" si="18"/>
        <v>1598.1</v>
      </c>
      <c r="O77" s="114">
        <f t="shared" si="20"/>
        <v>1248.1</v>
      </c>
      <c r="P77" s="103">
        <f t="shared" si="19"/>
        <v>350</v>
      </c>
      <c r="Q77" s="114">
        <v>2017</v>
      </c>
      <c r="R77" s="114" t="s">
        <v>147</v>
      </c>
      <c r="S77" s="96" t="s">
        <v>123</v>
      </c>
    </row>
    <row r="78" ht="48" customHeight="1" spans="1:19">
      <c r="A78" s="87"/>
      <c r="B78" s="101" t="s">
        <v>130</v>
      </c>
      <c r="C78" s="101" t="s">
        <v>130</v>
      </c>
      <c r="D78" s="114" t="s">
        <v>125</v>
      </c>
      <c r="E78" s="102"/>
      <c r="F78" s="97">
        <v>1908</v>
      </c>
      <c r="G78" s="97">
        <v>1913</v>
      </c>
      <c r="H78" s="109">
        <f t="shared" si="17"/>
        <v>5</v>
      </c>
      <c r="I78" s="101" t="s">
        <v>36</v>
      </c>
      <c r="J78" s="101">
        <v>9</v>
      </c>
      <c r="K78" s="101" t="s">
        <v>43</v>
      </c>
      <c r="L78" s="96" t="s">
        <v>22</v>
      </c>
      <c r="M78" s="96" t="s">
        <v>44</v>
      </c>
      <c r="N78" s="134">
        <f t="shared" si="18"/>
        <v>1141.5</v>
      </c>
      <c r="O78" s="114">
        <f t="shared" si="20"/>
        <v>891.5</v>
      </c>
      <c r="P78" s="103">
        <f t="shared" si="19"/>
        <v>250</v>
      </c>
      <c r="Q78" s="114">
        <v>2017</v>
      </c>
      <c r="R78" s="114" t="s">
        <v>147</v>
      </c>
      <c r="S78" s="96" t="s">
        <v>123</v>
      </c>
    </row>
    <row r="79" ht="52" customHeight="1" spans="1:19">
      <c r="A79" s="87"/>
      <c r="B79" s="101" t="s">
        <v>130</v>
      </c>
      <c r="C79" s="101" t="s">
        <v>130</v>
      </c>
      <c r="D79" s="114" t="s">
        <v>125</v>
      </c>
      <c r="E79" s="102"/>
      <c r="F79" s="97" t="s">
        <v>148</v>
      </c>
      <c r="G79" s="97" t="s">
        <v>149</v>
      </c>
      <c r="H79" s="109">
        <f t="shared" si="17"/>
        <v>2</v>
      </c>
      <c r="I79" s="101" t="s">
        <v>36</v>
      </c>
      <c r="J79" s="101">
        <v>9</v>
      </c>
      <c r="K79" s="101" t="s">
        <v>43</v>
      </c>
      <c r="L79" s="96" t="s">
        <v>22</v>
      </c>
      <c r="M79" s="96" t="s">
        <v>44</v>
      </c>
      <c r="N79" s="134">
        <f t="shared" si="18"/>
        <v>456.6</v>
      </c>
      <c r="O79" s="114">
        <f t="shared" si="20"/>
        <v>356.6</v>
      </c>
      <c r="P79" s="103">
        <f t="shared" si="19"/>
        <v>100</v>
      </c>
      <c r="Q79" s="114">
        <v>2017</v>
      </c>
      <c r="R79" s="114" t="s">
        <v>147</v>
      </c>
      <c r="S79" s="96" t="s">
        <v>123</v>
      </c>
    </row>
    <row r="80" ht="45" customHeight="1" spans="1:19">
      <c r="A80" s="87">
        <v>34</v>
      </c>
      <c r="B80" s="101" t="s">
        <v>150</v>
      </c>
      <c r="C80" s="114" t="s">
        <v>151</v>
      </c>
      <c r="D80" s="114" t="s">
        <v>54</v>
      </c>
      <c r="E80" s="102"/>
      <c r="F80" s="109">
        <v>1</v>
      </c>
      <c r="G80" s="109">
        <v>3</v>
      </c>
      <c r="H80" s="139">
        <f t="shared" si="17"/>
        <v>2</v>
      </c>
      <c r="I80" s="101" t="s">
        <v>28</v>
      </c>
      <c r="J80" s="143">
        <v>7</v>
      </c>
      <c r="K80" s="143" t="s">
        <v>91</v>
      </c>
      <c r="L80" s="143" t="s">
        <v>22</v>
      </c>
      <c r="M80" s="125" t="s">
        <v>152</v>
      </c>
      <c r="N80" s="134">
        <f t="shared" ref="N80:N82" si="21">P80+O80</f>
        <v>277</v>
      </c>
      <c r="O80" s="103">
        <f t="shared" ref="O80:O82" si="22">(H80*1000*J80*(8+0.2*200+8+0.06*1150)+H80*10000)/10000</f>
        <v>177</v>
      </c>
      <c r="P80" s="103">
        <f t="shared" si="19"/>
        <v>100</v>
      </c>
      <c r="Q80" s="114">
        <v>2017</v>
      </c>
      <c r="R80" s="145" t="s">
        <v>48</v>
      </c>
      <c r="S80" s="96" t="s">
        <v>123</v>
      </c>
    </row>
    <row r="81" ht="42" customHeight="1" spans="1:19">
      <c r="A81" s="87">
        <v>35</v>
      </c>
      <c r="B81" s="101" t="s">
        <v>49</v>
      </c>
      <c r="C81" s="114" t="s">
        <v>153</v>
      </c>
      <c r="D81" s="114" t="s">
        <v>54</v>
      </c>
      <c r="E81" s="102"/>
      <c r="F81" s="109">
        <v>0.267</v>
      </c>
      <c r="G81" s="109">
        <v>0.755</v>
      </c>
      <c r="H81" s="139">
        <f t="shared" si="17"/>
        <v>0.488</v>
      </c>
      <c r="I81" s="101" t="s">
        <v>28</v>
      </c>
      <c r="J81" s="143">
        <v>7</v>
      </c>
      <c r="K81" s="143" t="s">
        <v>91</v>
      </c>
      <c r="L81" s="143" t="s">
        <v>22</v>
      </c>
      <c r="M81" s="96" t="s">
        <v>152</v>
      </c>
      <c r="N81" s="134">
        <f t="shared" si="21"/>
        <v>67.588</v>
      </c>
      <c r="O81" s="103">
        <f t="shared" si="22"/>
        <v>43.188</v>
      </c>
      <c r="P81" s="103">
        <f t="shared" si="19"/>
        <v>24.4</v>
      </c>
      <c r="Q81" s="114">
        <v>2017</v>
      </c>
      <c r="R81" s="145" t="s">
        <v>48</v>
      </c>
      <c r="S81" s="96" t="s">
        <v>123</v>
      </c>
    </row>
    <row r="82" ht="48" customHeight="1" spans="1:19">
      <c r="A82" s="87"/>
      <c r="B82" s="101" t="s">
        <v>49</v>
      </c>
      <c r="C82" s="114" t="s">
        <v>154</v>
      </c>
      <c r="D82" s="114" t="s">
        <v>54</v>
      </c>
      <c r="E82" s="102"/>
      <c r="F82" s="109">
        <v>8</v>
      </c>
      <c r="G82" s="109">
        <v>8.822</v>
      </c>
      <c r="H82" s="139">
        <f t="shared" si="17"/>
        <v>0.821999999999999</v>
      </c>
      <c r="I82" s="101" t="s">
        <v>28</v>
      </c>
      <c r="J82" s="143">
        <v>6</v>
      </c>
      <c r="K82" s="143" t="s">
        <v>91</v>
      </c>
      <c r="L82" s="143" t="s">
        <v>22</v>
      </c>
      <c r="M82" s="96" t="s">
        <v>152</v>
      </c>
      <c r="N82" s="134">
        <f t="shared" si="21"/>
        <v>103.572</v>
      </c>
      <c r="O82" s="103">
        <f t="shared" si="22"/>
        <v>62.4719999999999</v>
      </c>
      <c r="P82" s="103">
        <f t="shared" si="19"/>
        <v>41.1</v>
      </c>
      <c r="Q82" s="114">
        <v>2017</v>
      </c>
      <c r="R82" s="145" t="s">
        <v>48</v>
      </c>
      <c r="S82" s="96" t="s">
        <v>123</v>
      </c>
    </row>
    <row r="83" ht="55" customHeight="1" spans="1:19">
      <c r="A83" s="87">
        <v>36</v>
      </c>
      <c r="B83" s="101" t="s">
        <v>140</v>
      </c>
      <c r="C83" s="101" t="s">
        <v>140</v>
      </c>
      <c r="D83" s="114" t="s">
        <v>125</v>
      </c>
      <c r="E83" s="102"/>
      <c r="F83" s="97">
        <v>562</v>
      </c>
      <c r="G83" s="97" t="s">
        <v>155</v>
      </c>
      <c r="H83" s="109">
        <f t="shared" si="17"/>
        <v>4.16200000000003</v>
      </c>
      <c r="I83" s="101" t="s">
        <v>36</v>
      </c>
      <c r="J83" s="101">
        <v>9</v>
      </c>
      <c r="K83" s="101" t="s">
        <v>43</v>
      </c>
      <c r="L83" s="96" t="s">
        <v>22</v>
      </c>
      <c r="M83" s="125" t="s">
        <v>44</v>
      </c>
      <c r="N83" s="134">
        <f>O83+P83</f>
        <v>950.184600000008</v>
      </c>
      <c r="O83" s="114">
        <f>(H83*1000*J83*(8+0.3*200+8+0.06*1150+0.04*1300)+H83*10000)/10000</f>
        <v>742.084600000006</v>
      </c>
      <c r="P83" s="103">
        <f t="shared" si="19"/>
        <v>208.100000000002</v>
      </c>
      <c r="Q83" s="114">
        <v>2017</v>
      </c>
      <c r="R83" s="145" t="s">
        <v>73</v>
      </c>
      <c r="S83" s="96" t="s">
        <v>123</v>
      </c>
    </row>
    <row r="84" ht="51" customHeight="1" spans="1:19">
      <c r="A84" s="87"/>
      <c r="B84" s="101" t="s">
        <v>140</v>
      </c>
      <c r="C84" s="101" t="s">
        <v>140</v>
      </c>
      <c r="D84" s="114" t="s">
        <v>125</v>
      </c>
      <c r="E84" s="102"/>
      <c r="F84" s="97">
        <v>590</v>
      </c>
      <c r="G84" s="97">
        <v>593</v>
      </c>
      <c r="H84" s="109">
        <f t="shared" si="17"/>
        <v>3</v>
      </c>
      <c r="I84" s="101" t="s">
        <v>36</v>
      </c>
      <c r="J84" s="101">
        <v>9</v>
      </c>
      <c r="K84" s="101" t="s">
        <v>43</v>
      </c>
      <c r="L84" s="96" t="s">
        <v>22</v>
      </c>
      <c r="M84" s="125" t="s">
        <v>44</v>
      </c>
      <c r="N84" s="134">
        <f>O84+P84</f>
        <v>684.9</v>
      </c>
      <c r="O84" s="114">
        <f>(H84*1000*J84*(8+0.3*200+8+0.06*1150+0.04*1300)+H84*10000)/10000</f>
        <v>534.9</v>
      </c>
      <c r="P84" s="103">
        <f t="shared" si="19"/>
        <v>150</v>
      </c>
      <c r="Q84" s="114">
        <v>2017</v>
      </c>
      <c r="R84" s="145" t="s">
        <v>73</v>
      </c>
      <c r="S84" s="96" t="s">
        <v>123</v>
      </c>
    </row>
    <row r="85" ht="43" customHeight="1" spans="1:19">
      <c r="A85" s="87">
        <v>37</v>
      </c>
      <c r="B85" s="101" t="s">
        <v>156</v>
      </c>
      <c r="C85" s="114" t="s">
        <v>157</v>
      </c>
      <c r="D85" s="114" t="s">
        <v>54</v>
      </c>
      <c r="E85" s="102"/>
      <c r="F85" s="109">
        <v>33.289</v>
      </c>
      <c r="G85" s="109">
        <v>42.888</v>
      </c>
      <c r="H85" s="139">
        <f t="shared" si="17"/>
        <v>9.599</v>
      </c>
      <c r="I85" s="101" t="s">
        <v>28</v>
      </c>
      <c r="J85" s="143">
        <v>7</v>
      </c>
      <c r="K85" s="143" t="s">
        <v>86</v>
      </c>
      <c r="L85" s="143" t="s">
        <v>22</v>
      </c>
      <c r="M85" s="125" t="s">
        <v>158</v>
      </c>
      <c r="N85" s="134">
        <f>P85+O85</f>
        <v>1275.7071</v>
      </c>
      <c r="O85" s="103">
        <f>(H85*1000*J85*(0.2*200+8+0.06*1150)+H85*10000)/10000</f>
        <v>795.7571</v>
      </c>
      <c r="P85" s="103">
        <f t="shared" si="19"/>
        <v>479.95</v>
      </c>
      <c r="Q85" s="114">
        <v>2017</v>
      </c>
      <c r="R85" s="145" t="s">
        <v>73</v>
      </c>
      <c r="S85" s="96" t="s">
        <v>123</v>
      </c>
    </row>
    <row r="86" ht="46" customHeight="1" spans="1:19">
      <c r="A86" s="87">
        <v>38</v>
      </c>
      <c r="B86" s="96" t="s">
        <v>143</v>
      </c>
      <c r="C86" s="96" t="s">
        <v>34</v>
      </c>
      <c r="D86" s="102" t="s">
        <v>26</v>
      </c>
      <c r="E86" s="102"/>
      <c r="F86" s="116">
        <v>113.838</v>
      </c>
      <c r="G86" s="116">
        <v>119.307</v>
      </c>
      <c r="H86" s="97">
        <f t="shared" si="17"/>
        <v>5.46900000000001</v>
      </c>
      <c r="I86" s="96" t="s">
        <v>36</v>
      </c>
      <c r="J86" s="124">
        <v>9</v>
      </c>
      <c r="K86" s="96" t="s">
        <v>110</v>
      </c>
      <c r="L86" s="96" t="s">
        <v>22</v>
      </c>
      <c r="M86" s="125" t="s">
        <v>159</v>
      </c>
      <c r="N86" s="126">
        <f t="shared" ref="N86:N95" si="23">O86+P86</f>
        <v>899.103600000001</v>
      </c>
      <c r="O86" s="126">
        <v>625.653600000001</v>
      </c>
      <c r="P86" s="128">
        <f t="shared" si="19"/>
        <v>273.45</v>
      </c>
      <c r="Q86" s="96">
        <v>2017</v>
      </c>
      <c r="R86" s="146" t="s">
        <v>73</v>
      </c>
      <c r="S86" s="96" t="s">
        <v>123</v>
      </c>
    </row>
    <row r="87" ht="54" customHeight="1" spans="1:19">
      <c r="A87" s="87"/>
      <c r="B87" s="96" t="s">
        <v>143</v>
      </c>
      <c r="C87" s="96" t="s">
        <v>34</v>
      </c>
      <c r="D87" s="102" t="s">
        <v>26</v>
      </c>
      <c r="E87" s="102"/>
      <c r="F87" s="116">
        <v>119.307</v>
      </c>
      <c r="G87" s="116">
        <v>120.8</v>
      </c>
      <c r="H87" s="97">
        <f t="shared" si="17"/>
        <v>1.49299999999999</v>
      </c>
      <c r="I87" s="96" t="s">
        <v>36</v>
      </c>
      <c r="J87" s="124">
        <v>9</v>
      </c>
      <c r="K87" s="96" t="s">
        <v>126</v>
      </c>
      <c r="L87" s="96" t="s">
        <v>22</v>
      </c>
      <c r="M87" s="125" t="s">
        <v>160</v>
      </c>
      <c r="N87" s="126">
        <f t="shared" si="23"/>
        <v>256.198799999999</v>
      </c>
      <c r="O87" s="126">
        <v>181.548799999999</v>
      </c>
      <c r="P87" s="128">
        <f t="shared" si="19"/>
        <v>74.6499999999997</v>
      </c>
      <c r="Q87" s="96">
        <v>2017</v>
      </c>
      <c r="R87" s="146" t="s">
        <v>73</v>
      </c>
      <c r="S87" s="96" t="s">
        <v>123</v>
      </c>
    </row>
    <row r="88" ht="51" customHeight="1" spans="1:19">
      <c r="A88" s="87"/>
      <c r="B88" s="96" t="s">
        <v>143</v>
      </c>
      <c r="C88" s="96" t="s">
        <v>34</v>
      </c>
      <c r="D88" s="102" t="s">
        <v>26</v>
      </c>
      <c r="E88" s="102"/>
      <c r="F88" s="116">
        <v>120.8</v>
      </c>
      <c r="G88" s="116">
        <v>123.5</v>
      </c>
      <c r="H88" s="97">
        <f t="shared" si="17"/>
        <v>2.7</v>
      </c>
      <c r="I88" s="96" t="s">
        <v>36</v>
      </c>
      <c r="J88" s="124">
        <v>9</v>
      </c>
      <c r="K88" s="96" t="s">
        <v>110</v>
      </c>
      <c r="L88" s="96" t="s">
        <v>22</v>
      </c>
      <c r="M88" s="125" t="s">
        <v>159</v>
      </c>
      <c r="N88" s="126">
        <f t="shared" si="23"/>
        <v>443.88</v>
      </c>
      <c r="O88" s="126">
        <v>308.88</v>
      </c>
      <c r="P88" s="128">
        <f t="shared" si="19"/>
        <v>135</v>
      </c>
      <c r="Q88" s="96">
        <v>2017</v>
      </c>
      <c r="R88" s="146" t="s">
        <v>73</v>
      </c>
      <c r="S88" s="96" t="s">
        <v>123</v>
      </c>
    </row>
    <row r="89" ht="52" customHeight="1" spans="1:19">
      <c r="A89" s="98">
        <v>39</v>
      </c>
      <c r="B89" s="114" t="s">
        <v>132</v>
      </c>
      <c r="C89" s="114" t="s">
        <v>132</v>
      </c>
      <c r="D89" s="114" t="s">
        <v>125</v>
      </c>
      <c r="E89" s="102"/>
      <c r="F89" s="97" t="s">
        <v>161</v>
      </c>
      <c r="G89" s="97" t="s">
        <v>162</v>
      </c>
      <c r="H89" s="109">
        <f t="shared" si="17"/>
        <v>3.89499999999998</v>
      </c>
      <c r="I89" s="101" t="s">
        <v>36</v>
      </c>
      <c r="J89" s="101">
        <v>9</v>
      </c>
      <c r="K89" s="101" t="s">
        <v>43</v>
      </c>
      <c r="L89" s="96" t="s">
        <v>22</v>
      </c>
      <c r="M89" s="125" t="s">
        <v>44</v>
      </c>
      <c r="N89" s="134">
        <f t="shared" si="23"/>
        <v>889.228499999996</v>
      </c>
      <c r="O89" s="114">
        <f t="shared" ref="O89:O92" si="24">(H89*1000*J89*(8+0.3*200+8+0.06*1150+0.04*1300)+H89*10000)/10000</f>
        <v>694.478499999997</v>
      </c>
      <c r="P89" s="103">
        <f t="shared" si="19"/>
        <v>194.749999999999</v>
      </c>
      <c r="Q89" s="96">
        <v>2017</v>
      </c>
      <c r="R89" s="145" t="s">
        <v>163</v>
      </c>
      <c r="S89" s="96" t="s">
        <v>123</v>
      </c>
    </row>
    <row r="90" ht="42" customHeight="1" spans="1:19">
      <c r="A90" s="99"/>
      <c r="B90" s="114" t="s">
        <v>132</v>
      </c>
      <c r="C90" s="114" t="s">
        <v>132</v>
      </c>
      <c r="D90" s="114" t="s">
        <v>125</v>
      </c>
      <c r="E90" s="102"/>
      <c r="F90" s="97" t="s">
        <v>162</v>
      </c>
      <c r="G90" s="97" t="s">
        <v>164</v>
      </c>
      <c r="H90" s="109">
        <f t="shared" si="17"/>
        <v>1.41600000000017</v>
      </c>
      <c r="I90" s="101" t="s">
        <v>36</v>
      </c>
      <c r="J90" s="101">
        <v>9</v>
      </c>
      <c r="K90" s="101" t="s">
        <v>43</v>
      </c>
      <c r="L90" s="96" t="s">
        <v>22</v>
      </c>
      <c r="M90" s="125" t="s">
        <v>44</v>
      </c>
      <c r="N90" s="134">
        <f t="shared" si="23"/>
        <v>323.272800000038</v>
      </c>
      <c r="O90" s="114">
        <f t="shared" si="24"/>
        <v>252.47280000003</v>
      </c>
      <c r="P90" s="103">
        <f t="shared" si="19"/>
        <v>70.8000000000084</v>
      </c>
      <c r="Q90" s="96">
        <v>2017</v>
      </c>
      <c r="R90" s="145" t="s">
        <v>163</v>
      </c>
      <c r="S90" s="96" t="s">
        <v>123</v>
      </c>
    </row>
    <row r="91" ht="54" customHeight="1" spans="1:19">
      <c r="A91" s="99"/>
      <c r="B91" s="114" t="s">
        <v>132</v>
      </c>
      <c r="C91" s="114" t="s">
        <v>132</v>
      </c>
      <c r="D91" s="114" t="s">
        <v>125</v>
      </c>
      <c r="E91" s="102"/>
      <c r="F91" s="97" t="s">
        <v>164</v>
      </c>
      <c r="G91" s="97" t="s">
        <v>165</v>
      </c>
      <c r="H91" s="109">
        <f t="shared" si="17"/>
        <v>0.734999999999673</v>
      </c>
      <c r="I91" s="101" t="s">
        <v>36</v>
      </c>
      <c r="J91" s="101">
        <v>9</v>
      </c>
      <c r="K91" s="101" t="s">
        <v>43</v>
      </c>
      <c r="L91" s="96" t="s">
        <v>22</v>
      </c>
      <c r="M91" s="96" t="s">
        <v>44</v>
      </c>
      <c r="N91" s="134">
        <f t="shared" si="23"/>
        <v>167.800499999925</v>
      </c>
      <c r="O91" s="114">
        <f t="shared" si="24"/>
        <v>131.050499999942</v>
      </c>
      <c r="P91" s="103">
        <f t="shared" si="19"/>
        <v>36.7499999999836</v>
      </c>
      <c r="Q91" s="96">
        <v>2017</v>
      </c>
      <c r="R91" s="145" t="s">
        <v>163</v>
      </c>
      <c r="S91" s="96" t="s">
        <v>123</v>
      </c>
    </row>
    <row r="92" ht="36" spans="1:19">
      <c r="A92" s="100"/>
      <c r="B92" s="114" t="s">
        <v>132</v>
      </c>
      <c r="C92" s="114" t="s">
        <v>132</v>
      </c>
      <c r="D92" s="114" t="s">
        <v>125</v>
      </c>
      <c r="E92" s="102"/>
      <c r="F92" s="97" t="s">
        <v>165</v>
      </c>
      <c r="G92" s="97">
        <v>2131.6</v>
      </c>
      <c r="H92" s="109">
        <f t="shared" si="17"/>
        <v>2.55400000000009</v>
      </c>
      <c r="I92" s="101" t="s">
        <v>36</v>
      </c>
      <c r="J92" s="101">
        <v>9</v>
      </c>
      <c r="K92" s="101" t="s">
        <v>43</v>
      </c>
      <c r="L92" s="96" t="s">
        <v>22</v>
      </c>
      <c r="M92" s="96" t="s">
        <v>44</v>
      </c>
      <c r="N92" s="134">
        <f t="shared" si="23"/>
        <v>583.07820000002</v>
      </c>
      <c r="O92" s="114">
        <f t="shared" si="24"/>
        <v>455.378200000016</v>
      </c>
      <c r="P92" s="103">
        <f t="shared" si="19"/>
        <v>127.700000000004</v>
      </c>
      <c r="Q92" s="96">
        <v>2017</v>
      </c>
      <c r="R92" s="145" t="s">
        <v>163</v>
      </c>
      <c r="S92" s="96" t="s">
        <v>123</v>
      </c>
    </row>
    <row r="93" ht="33" customHeight="1" spans="1:19">
      <c r="A93" s="87">
        <v>40</v>
      </c>
      <c r="B93" s="96" t="s">
        <v>140</v>
      </c>
      <c r="C93" s="96" t="s">
        <v>140</v>
      </c>
      <c r="D93" s="102" t="s">
        <v>125</v>
      </c>
      <c r="E93" s="102"/>
      <c r="F93" s="116">
        <v>519.55</v>
      </c>
      <c r="G93" s="116">
        <v>519.84</v>
      </c>
      <c r="H93" s="97">
        <f t="shared" si="17"/>
        <v>0.290000000000077</v>
      </c>
      <c r="I93" s="96" t="s">
        <v>36</v>
      </c>
      <c r="J93" s="124">
        <v>9</v>
      </c>
      <c r="K93" s="96" t="s">
        <v>110</v>
      </c>
      <c r="L93" s="96" t="s">
        <v>22</v>
      </c>
      <c r="M93" s="125" t="s">
        <v>166</v>
      </c>
      <c r="N93" s="126">
        <f t="shared" si="23"/>
        <v>65.6850000000175</v>
      </c>
      <c r="O93" s="126">
        <v>51.1850000000136</v>
      </c>
      <c r="P93" s="128">
        <f t="shared" si="19"/>
        <v>14.5000000000039</v>
      </c>
      <c r="Q93" s="96">
        <v>2017</v>
      </c>
      <c r="R93" s="146" t="s">
        <v>93</v>
      </c>
      <c r="S93" s="96" t="s">
        <v>123</v>
      </c>
    </row>
    <row r="94" ht="33" customHeight="1" spans="1:19">
      <c r="A94" s="87">
        <v>41</v>
      </c>
      <c r="B94" s="96" t="s">
        <v>124</v>
      </c>
      <c r="C94" s="96" t="s">
        <v>124</v>
      </c>
      <c r="D94" s="102" t="s">
        <v>125</v>
      </c>
      <c r="E94" s="102"/>
      <c r="F94" s="116">
        <v>64</v>
      </c>
      <c r="G94" s="116">
        <v>65.2</v>
      </c>
      <c r="H94" s="97">
        <f t="shared" si="17"/>
        <v>1.2</v>
      </c>
      <c r="I94" s="96" t="s">
        <v>36</v>
      </c>
      <c r="J94" s="124">
        <v>9</v>
      </c>
      <c r="K94" s="96" t="s">
        <v>110</v>
      </c>
      <c r="L94" s="96" t="s">
        <v>22</v>
      </c>
      <c r="M94" s="125" t="s">
        <v>167</v>
      </c>
      <c r="N94" s="126">
        <f t="shared" si="23"/>
        <v>246.42</v>
      </c>
      <c r="O94" s="126">
        <v>186.42</v>
      </c>
      <c r="P94" s="128">
        <f t="shared" si="19"/>
        <v>60.0000000000001</v>
      </c>
      <c r="Q94" s="96">
        <v>2017</v>
      </c>
      <c r="R94" s="146" t="s">
        <v>93</v>
      </c>
      <c r="S94" s="96" t="s">
        <v>123</v>
      </c>
    </row>
    <row r="95" ht="42" customHeight="1" spans="1:19">
      <c r="A95" s="87">
        <v>41</v>
      </c>
      <c r="B95" s="96" t="s">
        <v>124</v>
      </c>
      <c r="C95" s="96" t="s">
        <v>124</v>
      </c>
      <c r="D95" s="102" t="s">
        <v>125</v>
      </c>
      <c r="E95" s="102"/>
      <c r="F95" s="116">
        <v>84.1</v>
      </c>
      <c r="G95" s="116">
        <v>88</v>
      </c>
      <c r="H95" s="97">
        <f t="shared" si="17"/>
        <v>3.90000000000001</v>
      </c>
      <c r="I95" s="96" t="s">
        <v>36</v>
      </c>
      <c r="J95" s="124">
        <v>12</v>
      </c>
      <c r="K95" s="96" t="s">
        <v>126</v>
      </c>
      <c r="L95" s="96" t="s">
        <v>22</v>
      </c>
      <c r="M95" s="125" t="s">
        <v>168</v>
      </c>
      <c r="N95" s="126">
        <f t="shared" si="23"/>
        <v>1148.94</v>
      </c>
      <c r="O95" s="126">
        <v>953.940000000001</v>
      </c>
      <c r="P95" s="128">
        <f t="shared" si="19"/>
        <v>195</v>
      </c>
      <c r="Q95" s="96">
        <v>2017</v>
      </c>
      <c r="R95" s="146" t="s">
        <v>93</v>
      </c>
      <c r="S95" s="96" t="s">
        <v>123</v>
      </c>
    </row>
    <row r="96" spans="1:18">
      <c r="A96" s="83"/>
      <c r="B96" s="83"/>
      <c r="C96" s="83"/>
      <c r="D96" s="83"/>
      <c r="E96" s="83"/>
      <c r="F96" s="140"/>
      <c r="G96" s="140"/>
      <c r="H96" s="140"/>
      <c r="I96" s="83"/>
      <c r="J96" s="144"/>
      <c r="K96" s="83"/>
      <c r="L96" s="83"/>
      <c r="M96" s="83"/>
      <c r="N96" s="83"/>
      <c r="O96" s="83"/>
      <c r="P96" s="83"/>
      <c r="Q96" s="83"/>
      <c r="R96" s="83"/>
    </row>
  </sheetData>
  <mergeCells count="21">
    <mergeCell ref="A2:S2"/>
    <mergeCell ref="A11:A14"/>
    <mergeCell ref="A15:A18"/>
    <mergeCell ref="A19:A20"/>
    <mergeCell ref="A21:A22"/>
    <mergeCell ref="A23:A24"/>
    <mergeCell ref="A25:A29"/>
    <mergeCell ref="A33:A35"/>
    <mergeCell ref="A36:A39"/>
    <mergeCell ref="A40:A43"/>
    <mergeCell ref="A51:A55"/>
    <mergeCell ref="A59:A60"/>
    <mergeCell ref="A62:A63"/>
    <mergeCell ref="A65:A70"/>
    <mergeCell ref="A73:A74"/>
    <mergeCell ref="A76:A79"/>
    <mergeCell ref="A81:A82"/>
    <mergeCell ref="A83:A84"/>
    <mergeCell ref="A86:A88"/>
    <mergeCell ref="A89:A92"/>
    <mergeCell ref="S49:S50"/>
  </mergeCells>
  <pageMargins left="0.590277777777778" right="0.590277777777778" top="0.313888888888889" bottom="0.590277777777778" header="0.275" footer="0.511805555555556"/>
  <pageSetup paperSize="8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96"/>
  <sheetViews>
    <sheetView view="pageBreakPreview" zoomScale="50" zoomScaleNormal="75" zoomScaleSheetLayoutView="50" workbookViewId="0">
      <selection activeCell="J87" sqref="J87"/>
    </sheetView>
  </sheetViews>
  <sheetFormatPr defaultColWidth="9" defaultRowHeight="13.5"/>
  <cols>
    <col min="1" max="2" width="6.125" style="38" customWidth="1"/>
    <col min="3" max="3" width="6" style="38" customWidth="1"/>
    <col min="4" max="4" width="4.125" style="38" hidden="1" customWidth="1"/>
    <col min="5" max="5" width="10.25" style="38" customWidth="1"/>
    <col min="6" max="6" width="10.75" style="39" customWidth="1"/>
    <col min="7" max="7" width="11" style="39" customWidth="1"/>
    <col min="8" max="8" width="10.375" style="39" customWidth="1"/>
    <col min="9" max="9" width="5.25" style="38" customWidth="1"/>
    <col min="10" max="10" width="6" style="40" customWidth="1"/>
    <col min="11" max="11" width="9" style="38"/>
    <col min="12" max="12" width="8.5" style="38" customWidth="1"/>
    <col min="13" max="13" width="41.5" style="38" customWidth="1"/>
    <col min="14" max="14" width="12" style="38" customWidth="1"/>
    <col min="15" max="16" width="9.75" style="38" customWidth="1"/>
    <col min="17" max="17" width="8.625" style="38" customWidth="1"/>
    <col min="18" max="18" width="8.5" style="38" customWidth="1"/>
    <col min="19" max="19" width="18.75" style="41" customWidth="1"/>
    <col min="20" max="28" width="10.625" style="38" customWidth="1"/>
    <col min="29" max="16384" width="9" style="38"/>
  </cols>
  <sheetData>
    <row r="1" ht="40" customHeight="1" spans="1:19">
      <c r="A1" s="42" t="s">
        <v>169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ht="69" customHeight="1" spans="1:22">
      <c r="A2" s="44"/>
      <c r="B2" s="45" t="s">
        <v>2</v>
      </c>
      <c r="C2" s="46" t="s">
        <v>3</v>
      </c>
      <c r="D2" s="46"/>
      <c r="E2" s="46" t="s">
        <v>4</v>
      </c>
      <c r="F2" s="47" t="s">
        <v>5</v>
      </c>
      <c r="G2" s="47" t="s">
        <v>6</v>
      </c>
      <c r="H2" s="47" t="s">
        <v>7</v>
      </c>
      <c r="I2" s="46" t="s">
        <v>8</v>
      </c>
      <c r="J2" s="62" t="s">
        <v>9</v>
      </c>
      <c r="K2" s="46" t="s">
        <v>10</v>
      </c>
      <c r="L2" s="63" t="s">
        <v>11</v>
      </c>
      <c r="M2" s="46" t="s">
        <v>12</v>
      </c>
      <c r="N2" s="46" t="s">
        <v>13</v>
      </c>
      <c r="O2" s="46" t="s">
        <v>14</v>
      </c>
      <c r="P2" s="46" t="s">
        <v>15</v>
      </c>
      <c r="Q2" s="74" t="s">
        <v>16</v>
      </c>
      <c r="R2" s="45" t="s">
        <v>17</v>
      </c>
      <c r="S2" s="45" t="s">
        <v>18</v>
      </c>
      <c r="T2" s="75" t="s">
        <v>170</v>
      </c>
      <c r="U2" s="75" t="s">
        <v>171</v>
      </c>
      <c r="V2" s="44" t="s">
        <v>172</v>
      </c>
    </row>
    <row r="3" ht="27.75" customHeight="1" spans="1:22">
      <c r="A3" s="44"/>
      <c r="B3" s="48"/>
      <c r="C3" s="48"/>
      <c r="D3" s="48"/>
      <c r="E3" s="48"/>
      <c r="F3" s="49">
        <v>2018</v>
      </c>
      <c r="G3" s="50"/>
      <c r="H3" s="51">
        <f>SUMIF($Q$9:$Q$96,"2018",$H$9:$H$96)</f>
        <v>294.397</v>
      </c>
      <c r="I3" s="44"/>
      <c r="J3" s="64"/>
      <c r="K3" s="44"/>
      <c r="L3" s="44"/>
      <c r="M3" s="64"/>
      <c r="N3" s="65">
        <f>SUMIF($Q$9:$Q$96,"2018",$N$9:$N$96)</f>
        <v>66172.6328999999</v>
      </c>
      <c r="O3" s="66">
        <f>SUMIF($Q$9:$Q$96,"2018",$O$9:$O$96)</f>
        <v>51452.7828999999</v>
      </c>
      <c r="P3" s="66">
        <f>SUMIF($Q$9:$Q$96,"2018",$P$9:$P$96)</f>
        <v>14719.85</v>
      </c>
      <c r="Q3" s="49"/>
      <c r="R3" s="44"/>
      <c r="S3" s="44"/>
      <c r="T3" s="44"/>
      <c r="U3" s="44"/>
      <c r="V3" s="44"/>
    </row>
    <row r="4" ht="27.75" customHeight="1" spans="1:22">
      <c r="A4" s="44"/>
      <c r="B4" s="48"/>
      <c r="C4" s="48"/>
      <c r="D4" s="48"/>
      <c r="E4" s="48"/>
      <c r="F4" s="52"/>
      <c r="G4" s="50" t="s">
        <v>19</v>
      </c>
      <c r="H4" s="51">
        <f>SUMPRODUCT(($Q$9:$Q$96=2018)*($D$9:$D$96="g")*($H$9:$H$96))</f>
        <v>122.735</v>
      </c>
      <c r="I4" s="44"/>
      <c r="J4" s="64"/>
      <c r="K4" s="44"/>
      <c r="L4" s="44"/>
      <c r="M4" s="64"/>
      <c r="N4" s="65">
        <f>SUMPRODUCT(($Q$9:$Q$96=2018)*($D$9:$D$96="g")*($N$9:$N$96))</f>
        <v>34434.2476499999</v>
      </c>
      <c r="O4" s="66">
        <f>SUMPRODUCT(($Q$9:$Q$96=2018)*($D$9:$D$96="g")*($O$9:$O$96))</f>
        <v>28297.4976499999</v>
      </c>
      <c r="P4" s="66">
        <f>SUMPRODUCT(($Q$9:$Q$96=2018)*($D$9:$D$96="g")*($P$9:$P$96))</f>
        <v>6136.74999999998</v>
      </c>
      <c r="Q4" s="49"/>
      <c r="R4" s="44"/>
      <c r="S4" s="44"/>
      <c r="T4" s="44"/>
      <c r="U4" s="44"/>
      <c r="V4" s="44"/>
    </row>
    <row r="5" ht="27.75" customHeight="1" spans="1:22">
      <c r="A5" s="44"/>
      <c r="B5" s="48"/>
      <c r="C5" s="48"/>
      <c r="D5" s="48"/>
      <c r="E5" s="48"/>
      <c r="F5" s="52"/>
      <c r="G5" s="50" t="s">
        <v>20</v>
      </c>
      <c r="H5" s="51">
        <f>SUMPRODUCT(($Q$9:$Q$96=2018)*($D$9:$D$96="s")*($H$9:$H$96))</f>
        <v>126.872</v>
      </c>
      <c r="I5" s="44"/>
      <c r="J5" s="64"/>
      <c r="K5" s="44"/>
      <c r="L5" s="44"/>
      <c r="M5" s="64"/>
      <c r="N5" s="65">
        <f>SUMPRODUCT(($Q$9:$Q$96=2018)*($D$9:$D$96="s")*($N$9:$N$96))</f>
        <v>25334.3903</v>
      </c>
      <c r="O5" s="66">
        <f>SUMPRODUCT(($Q$9:$Q$96=2018)*($D$9:$D$96="s")*($O$9:$O$96))</f>
        <v>18990.7903</v>
      </c>
      <c r="P5" s="66">
        <f>SUMPRODUCT(($Q$9:$Q$96=2018)*($D$9:$D$96="s")*($P$9:$P$96))</f>
        <v>6343.6</v>
      </c>
      <c r="Q5" s="49"/>
      <c r="R5" s="44"/>
      <c r="S5" s="44"/>
      <c r="T5" s="44"/>
      <c r="U5" s="44"/>
      <c r="V5" s="44"/>
    </row>
    <row r="6" ht="27.75" customHeight="1" spans="1:22">
      <c r="A6" s="44"/>
      <c r="B6" s="48"/>
      <c r="C6" s="48"/>
      <c r="D6" s="48"/>
      <c r="E6" s="48"/>
      <c r="F6" s="52"/>
      <c r="G6" s="50" t="s">
        <v>21</v>
      </c>
      <c r="H6" s="51">
        <f>SUMPRODUCT(($Q$9:$Q$96=2018)*($D$9:$D$96="x")*($H$9:$H$96))</f>
        <v>44.79</v>
      </c>
      <c r="I6" s="44"/>
      <c r="J6" s="64"/>
      <c r="K6" s="44"/>
      <c r="L6" s="44"/>
      <c r="M6" s="64"/>
      <c r="N6" s="65">
        <f>SUMPRODUCT(($Q$9:$Q$96=2018)*($D$9:$D$96="x")*($N$9:$N$96))</f>
        <v>6403.99495</v>
      </c>
      <c r="O6" s="66">
        <f>SUMPRODUCT(($Q$9:$Q$96=2018)*($D$9:$D$96="x")*($O$9:$O$96))</f>
        <v>4164.49495</v>
      </c>
      <c r="P6" s="66">
        <f>SUMPRODUCT(($Q$9:$Q$96=2018)*($D$9:$D$96="x")*($P$9:$P$96))</f>
        <v>2239.5</v>
      </c>
      <c r="Q6" s="49"/>
      <c r="R6" s="44"/>
      <c r="S6" s="44"/>
      <c r="T6" s="44"/>
      <c r="U6" s="44"/>
      <c r="V6" s="44"/>
    </row>
    <row r="7" ht="28" customHeight="1" spans="1:22">
      <c r="A7" s="44"/>
      <c r="B7" s="48"/>
      <c r="C7" s="48"/>
      <c r="D7" s="48"/>
      <c r="E7" s="48"/>
      <c r="F7" s="52"/>
      <c r="G7" s="50" t="s">
        <v>22</v>
      </c>
      <c r="H7" s="51">
        <f>SUMPRODUCT(($Q$9:$Q$96=2018)*($L$9:$L$96="大修")*($H$9:$H$96))</f>
        <v>290.371</v>
      </c>
      <c r="I7" s="44"/>
      <c r="J7" s="64"/>
      <c r="K7" s="44"/>
      <c r="L7" s="44"/>
      <c r="M7" s="64"/>
      <c r="N7" s="65">
        <f>SUMPRODUCT(($Q$9:$Q$96=2018)*($L$9:$L$96="大修")*($N$9:$N$96))</f>
        <v>65935.3068999999</v>
      </c>
      <c r="O7" s="66">
        <f>SUMPRODUCT(($Q$9:$Q$96=2018)*($L$9:$L$96="大修")*($O$9:$O$96))</f>
        <v>51416.7568999999</v>
      </c>
      <c r="P7" s="66">
        <f>SUMPRODUCT(($Q$9:$Q$96=2018)*($L$9:$L$96="大修")*($P$9:$P$96))</f>
        <v>14518.55</v>
      </c>
      <c r="Q7" s="49"/>
      <c r="R7" s="44"/>
      <c r="S7" s="44"/>
      <c r="T7" s="44"/>
      <c r="U7" s="44"/>
      <c r="V7" s="44"/>
    </row>
    <row r="8" ht="27" customHeight="1" spans="1:22">
      <c r="A8" s="44"/>
      <c r="B8" s="48"/>
      <c r="C8" s="48"/>
      <c r="D8" s="48"/>
      <c r="E8" s="48"/>
      <c r="F8" s="52"/>
      <c r="G8" s="50" t="s">
        <v>23</v>
      </c>
      <c r="H8" s="51">
        <f>SUMPRODUCT(($Q$9:$Q$96=2018)*($L$9:$L$96="中修")*($H$9:$H$96))</f>
        <v>4.02600000000001</v>
      </c>
      <c r="I8" s="44"/>
      <c r="J8" s="64"/>
      <c r="K8" s="44"/>
      <c r="L8" s="49"/>
      <c r="M8" s="64"/>
      <c r="N8" s="49"/>
      <c r="O8" s="67">
        <f>SUMPRODUCT(($Q$9:$Q$96=2018)*($L$9:$L$96="中修")*($O$9:$O$96))</f>
        <v>36.026</v>
      </c>
      <c r="P8" s="67">
        <f>SUMPRODUCT(($Q$9:$Q$96=2018)*($L$9:$L$96="中修")*($P$9:$P$96))</f>
        <v>201.300000000001</v>
      </c>
      <c r="Q8" s="49"/>
      <c r="R8" s="44"/>
      <c r="S8" s="44"/>
      <c r="T8" s="44"/>
      <c r="U8" s="44"/>
      <c r="V8" s="44"/>
    </row>
    <row r="9" ht="38.25" customHeight="1" spans="1:22">
      <c r="A9" s="53">
        <v>1</v>
      </c>
      <c r="B9" s="19" t="s">
        <v>82</v>
      </c>
      <c r="C9" s="19" t="s">
        <v>83</v>
      </c>
      <c r="D9" s="54" t="s">
        <v>26</v>
      </c>
      <c r="E9" s="54"/>
      <c r="F9" s="55">
        <v>577</v>
      </c>
      <c r="G9" s="55">
        <v>584.3</v>
      </c>
      <c r="H9" s="4">
        <f t="shared" ref="H9:H22" si="0">G9-F9</f>
        <v>7.29999999999995</v>
      </c>
      <c r="I9" s="19" t="s">
        <v>36</v>
      </c>
      <c r="J9" s="24">
        <v>9</v>
      </c>
      <c r="K9" s="19" t="s">
        <v>110</v>
      </c>
      <c r="L9" s="19" t="s">
        <v>22</v>
      </c>
      <c r="M9" s="19" t="s">
        <v>173</v>
      </c>
      <c r="N9" s="68">
        <f t="shared" ref="N9:N32" si="1">O9+P9</f>
        <v>1614.02999999999</v>
      </c>
      <c r="O9" s="68">
        <v>1249.02999999999</v>
      </c>
      <c r="P9" s="69">
        <f t="shared" ref="P9:P33" si="2">50*H9</f>
        <v>364.999999999998</v>
      </c>
      <c r="Q9" s="19">
        <v>2018</v>
      </c>
      <c r="R9" s="19" t="s">
        <v>174</v>
      </c>
      <c r="S9" s="15" t="s">
        <v>129</v>
      </c>
      <c r="T9" s="44">
        <v>503.005</v>
      </c>
      <c r="U9" s="44">
        <v>510.305</v>
      </c>
      <c r="V9" s="44">
        <f>693.1/8</f>
        <v>86.6375</v>
      </c>
    </row>
    <row r="10" ht="46" customHeight="1" spans="1:22">
      <c r="A10" s="56"/>
      <c r="B10" s="19" t="s">
        <v>82</v>
      </c>
      <c r="C10" s="19" t="s">
        <v>83</v>
      </c>
      <c r="D10" s="54" t="s">
        <v>26</v>
      </c>
      <c r="E10" s="54"/>
      <c r="F10" s="55">
        <v>607.3</v>
      </c>
      <c r="G10" s="55">
        <v>626.729</v>
      </c>
      <c r="H10" s="4">
        <f t="shared" si="0"/>
        <v>19.4290000000001</v>
      </c>
      <c r="I10" s="19" t="s">
        <v>36</v>
      </c>
      <c r="J10" s="24">
        <v>9</v>
      </c>
      <c r="K10" s="19" t="s">
        <v>126</v>
      </c>
      <c r="L10" s="19" t="s">
        <v>22</v>
      </c>
      <c r="M10" s="19" t="s">
        <v>175</v>
      </c>
      <c r="N10" s="68">
        <f t="shared" si="1"/>
        <v>4435.64070000002</v>
      </c>
      <c r="O10" s="68">
        <v>3464.19070000002</v>
      </c>
      <c r="P10" s="69">
        <f t="shared" si="2"/>
        <v>971.450000000004</v>
      </c>
      <c r="Q10" s="19">
        <v>2018</v>
      </c>
      <c r="R10" s="19" t="s">
        <v>174</v>
      </c>
      <c r="S10" s="15" t="s">
        <v>129</v>
      </c>
      <c r="T10" s="44">
        <v>533.305</v>
      </c>
      <c r="U10" s="44">
        <v>552.734</v>
      </c>
      <c r="V10" s="44">
        <f>1814.1/20</f>
        <v>90.705</v>
      </c>
    </row>
    <row r="11" ht="38.25" customHeight="1" spans="1:22">
      <c r="A11" s="53">
        <v>2</v>
      </c>
      <c r="B11" s="19" t="s">
        <v>40</v>
      </c>
      <c r="C11" s="19" t="s">
        <v>41</v>
      </c>
      <c r="D11" s="54" t="s">
        <v>26</v>
      </c>
      <c r="E11" s="54"/>
      <c r="F11" s="55">
        <v>61.807</v>
      </c>
      <c r="G11" s="55">
        <v>66.5</v>
      </c>
      <c r="H11" s="4">
        <f t="shared" si="0"/>
        <v>4.693</v>
      </c>
      <c r="I11" s="19" t="s">
        <v>36</v>
      </c>
      <c r="J11" s="24">
        <v>9</v>
      </c>
      <c r="K11" s="19" t="s">
        <v>110</v>
      </c>
      <c r="L11" s="19" t="s">
        <v>22</v>
      </c>
      <c r="M11" s="19" t="s">
        <v>173</v>
      </c>
      <c r="N11" s="68">
        <f t="shared" si="1"/>
        <v>1037.6223</v>
      </c>
      <c r="O11" s="68">
        <v>802.9723</v>
      </c>
      <c r="P11" s="69">
        <f t="shared" si="2"/>
        <v>234.65</v>
      </c>
      <c r="Q11" s="19">
        <v>2018</v>
      </c>
      <c r="R11" s="19" t="s">
        <v>174</v>
      </c>
      <c r="S11" s="19" t="s">
        <v>176</v>
      </c>
      <c r="T11" s="44">
        <v>61.807</v>
      </c>
      <c r="U11" s="44">
        <v>66.5</v>
      </c>
      <c r="V11" s="44">
        <f>344.6/4</f>
        <v>86.15</v>
      </c>
    </row>
    <row r="12" ht="39" customHeight="1" spans="1:22">
      <c r="A12" s="57"/>
      <c r="B12" s="19" t="s">
        <v>40</v>
      </c>
      <c r="C12" s="19" t="s">
        <v>41</v>
      </c>
      <c r="D12" s="54" t="s">
        <v>26</v>
      </c>
      <c r="E12" s="54"/>
      <c r="F12" s="55">
        <v>71.3</v>
      </c>
      <c r="G12" s="55">
        <v>76.867</v>
      </c>
      <c r="H12" s="4">
        <f t="shared" si="0"/>
        <v>5.56700000000001</v>
      </c>
      <c r="I12" s="19" t="s">
        <v>36</v>
      </c>
      <c r="J12" s="24">
        <v>9</v>
      </c>
      <c r="K12" s="19" t="s">
        <v>110</v>
      </c>
      <c r="L12" s="19" t="s">
        <v>22</v>
      </c>
      <c r="M12" s="19" t="s">
        <v>173</v>
      </c>
      <c r="N12" s="68">
        <f t="shared" si="1"/>
        <v>1230.8637</v>
      </c>
      <c r="O12" s="68">
        <v>952.513700000001</v>
      </c>
      <c r="P12" s="69">
        <f t="shared" si="2"/>
        <v>278.35</v>
      </c>
      <c r="Q12" s="19">
        <v>2018</v>
      </c>
      <c r="R12" s="19" t="s">
        <v>174</v>
      </c>
      <c r="S12" s="19" t="s">
        <v>176</v>
      </c>
      <c r="T12" s="44">
        <v>71.3</v>
      </c>
      <c r="U12" s="44">
        <v>76.867</v>
      </c>
      <c r="V12" s="44">
        <f>545.4/6</f>
        <v>90.9</v>
      </c>
    </row>
    <row r="13" ht="35.25" customHeight="1" spans="1:22">
      <c r="A13" s="57"/>
      <c r="B13" s="19" t="s">
        <v>40</v>
      </c>
      <c r="C13" s="19" t="s">
        <v>41</v>
      </c>
      <c r="D13" s="54" t="s">
        <v>26</v>
      </c>
      <c r="E13" s="54"/>
      <c r="F13" s="55">
        <v>81.37</v>
      </c>
      <c r="G13" s="55">
        <v>91</v>
      </c>
      <c r="H13" s="4">
        <f t="shared" si="0"/>
        <v>9.63</v>
      </c>
      <c r="I13" s="19" t="s">
        <v>36</v>
      </c>
      <c r="J13" s="24">
        <v>9</v>
      </c>
      <c r="K13" s="19" t="s">
        <v>110</v>
      </c>
      <c r="L13" s="19" t="s">
        <v>22</v>
      </c>
      <c r="M13" s="19" t="s">
        <v>173</v>
      </c>
      <c r="N13" s="68">
        <f t="shared" si="1"/>
        <v>2129.193</v>
      </c>
      <c r="O13" s="68">
        <v>1647.693</v>
      </c>
      <c r="P13" s="69">
        <f t="shared" si="2"/>
        <v>481.5</v>
      </c>
      <c r="Q13" s="19">
        <v>2018</v>
      </c>
      <c r="R13" s="19" t="s">
        <v>174</v>
      </c>
      <c r="S13" s="19" t="s">
        <v>176</v>
      </c>
      <c r="T13" s="44">
        <v>81.37</v>
      </c>
      <c r="U13" s="44">
        <v>91</v>
      </c>
      <c r="V13" s="44">
        <f>1009.6/11</f>
        <v>91.7818181818182</v>
      </c>
    </row>
    <row r="14" ht="43.5" customHeight="1" spans="1:22">
      <c r="A14" s="56"/>
      <c r="B14" s="19" t="s">
        <v>40</v>
      </c>
      <c r="C14" s="19" t="s">
        <v>41</v>
      </c>
      <c r="D14" s="54" t="s">
        <v>26</v>
      </c>
      <c r="E14" s="54"/>
      <c r="F14" s="55">
        <v>91</v>
      </c>
      <c r="G14" s="55">
        <v>93.319</v>
      </c>
      <c r="H14" s="4">
        <f t="shared" si="0"/>
        <v>2.319</v>
      </c>
      <c r="I14" s="19" t="s">
        <v>36</v>
      </c>
      <c r="J14" s="24">
        <v>9</v>
      </c>
      <c r="K14" s="19" t="s">
        <v>126</v>
      </c>
      <c r="L14" s="19" t="s">
        <v>22</v>
      </c>
      <c r="M14" s="19" t="s">
        <v>175</v>
      </c>
      <c r="N14" s="68">
        <f t="shared" si="1"/>
        <v>529.427700000001</v>
      </c>
      <c r="O14" s="68">
        <v>413.4777</v>
      </c>
      <c r="P14" s="69">
        <f t="shared" si="2"/>
        <v>115.95</v>
      </c>
      <c r="Q14" s="19">
        <v>2018</v>
      </c>
      <c r="R14" s="19" t="s">
        <v>174</v>
      </c>
      <c r="S14" s="19" t="s">
        <v>176</v>
      </c>
      <c r="T14" s="44">
        <v>91</v>
      </c>
      <c r="U14" s="44">
        <v>93.319</v>
      </c>
      <c r="V14" s="44">
        <f>182.8/2</f>
        <v>91.4</v>
      </c>
    </row>
    <row r="15" ht="41.25" customHeight="1" spans="1:22">
      <c r="A15" s="53">
        <v>3</v>
      </c>
      <c r="B15" s="19" t="s">
        <v>24</v>
      </c>
      <c r="C15" s="19" t="s">
        <v>25</v>
      </c>
      <c r="D15" s="19" t="s">
        <v>26</v>
      </c>
      <c r="E15" s="54"/>
      <c r="F15" s="4">
        <v>239.55</v>
      </c>
      <c r="G15" s="4">
        <v>243.188</v>
      </c>
      <c r="H15" s="4">
        <f t="shared" si="0"/>
        <v>3.63799999999998</v>
      </c>
      <c r="I15" s="19" t="s">
        <v>28</v>
      </c>
      <c r="J15" s="24">
        <v>7</v>
      </c>
      <c r="K15" s="19" t="s">
        <v>86</v>
      </c>
      <c r="L15" s="19" t="s">
        <v>22</v>
      </c>
      <c r="M15" s="19" t="s">
        <v>177</v>
      </c>
      <c r="N15" s="13">
        <f t="shared" si="1"/>
        <v>666.845399999996</v>
      </c>
      <c r="O15" s="13">
        <f>(H15*1000*J15*(0.3*200+8+0.06*1150+0.04*1300)+H15*10000)/10000</f>
        <v>484.945399999997</v>
      </c>
      <c r="P15" s="13">
        <f t="shared" si="2"/>
        <v>181.899999999999</v>
      </c>
      <c r="Q15" s="15">
        <v>2018</v>
      </c>
      <c r="R15" s="19" t="s">
        <v>31</v>
      </c>
      <c r="S15" s="15" t="s">
        <v>142</v>
      </c>
      <c r="T15" s="44">
        <f>824.591+0.55</f>
        <v>825.141</v>
      </c>
      <c r="U15" s="44">
        <v>829.778</v>
      </c>
      <c r="V15" s="44">
        <f>(82.8+77.6+87.2+84.3+89+85.3)/6</f>
        <v>84.3666666666667</v>
      </c>
    </row>
    <row r="16" ht="36" customHeight="1" spans="1:22">
      <c r="A16" s="56"/>
      <c r="B16" s="19" t="s">
        <v>24</v>
      </c>
      <c r="C16" s="19" t="s">
        <v>25</v>
      </c>
      <c r="D16" s="19" t="s">
        <v>26</v>
      </c>
      <c r="E16" s="54"/>
      <c r="F16" s="4">
        <v>247.3</v>
      </c>
      <c r="G16" s="4">
        <v>247.45</v>
      </c>
      <c r="H16" s="4">
        <f t="shared" si="0"/>
        <v>0.149999999999977</v>
      </c>
      <c r="I16" s="19" t="s">
        <v>28</v>
      </c>
      <c r="J16" s="24">
        <v>7</v>
      </c>
      <c r="K16" s="19" t="s">
        <v>86</v>
      </c>
      <c r="L16" s="19" t="s">
        <v>22</v>
      </c>
      <c r="M16" s="19" t="s">
        <v>177</v>
      </c>
      <c r="N16" s="13">
        <f t="shared" si="1"/>
        <v>27.4949999999958</v>
      </c>
      <c r="O16" s="13">
        <f>(H16*1000*J16*(0.3*200+8+0.06*1150+0.04*1300)+H16*10000)/10000</f>
        <v>19.994999999997</v>
      </c>
      <c r="P16" s="13">
        <f t="shared" si="2"/>
        <v>7.49999999999886</v>
      </c>
      <c r="Q16" s="15">
        <v>2018</v>
      </c>
      <c r="R16" s="19" t="s">
        <v>31</v>
      </c>
      <c r="S16" s="15" t="s">
        <v>142</v>
      </c>
      <c r="T16" s="44">
        <f>3.113+829.778</f>
        <v>832.891</v>
      </c>
      <c r="U16" s="52">
        <f>T16+H16</f>
        <v>833.041</v>
      </c>
      <c r="V16" s="44">
        <v>86</v>
      </c>
    </row>
    <row r="17" ht="34" customHeight="1" spans="1:22">
      <c r="A17" s="53">
        <v>4</v>
      </c>
      <c r="B17" s="19" t="s">
        <v>40</v>
      </c>
      <c r="C17" s="19" t="s">
        <v>46</v>
      </c>
      <c r="D17" s="54" t="s">
        <v>26</v>
      </c>
      <c r="E17" s="54"/>
      <c r="F17" s="55">
        <v>114</v>
      </c>
      <c r="G17" s="55">
        <v>118</v>
      </c>
      <c r="H17" s="58">
        <f t="shared" si="0"/>
        <v>4</v>
      </c>
      <c r="I17" s="19" t="s">
        <v>28</v>
      </c>
      <c r="J17" s="24">
        <v>7</v>
      </c>
      <c r="K17" s="19" t="s">
        <v>110</v>
      </c>
      <c r="L17" s="19" t="s">
        <v>22</v>
      </c>
      <c r="M17" s="19" t="s">
        <v>47</v>
      </c>
      <c r="N17" s="68">
        <f t="shared" si="1"/>
        <v>612.8</v>
      </c>
      <c r="O17" s="70">
        <f>H17*J17*0.1*(0.3*200+8+0.06*1300)+H17</f>
        <v>412.8</v>
      </c>
      <c r="P17" s="69">
        <f t="shared" si="2"/>
        <v>200</v>
      </c>
      <c r="Q17" s="19">
        <v>2018</v>
      </c>
      <c r="R17" s="19" t="s">
        <v>31</v>
      </c>
      <c r="S17" s="19" t="s">
        <v>176</v>
      </c>
      <c r="T17" s="76">
        <f>U17-H17</f>
        <v>318.093</v>
      </c>
      <c r="U17" s="44">
        <f>322.156-0.063</f>
        <v>322.093</v>
      </c>
      <c r="V17" s="44">
        <f>292.3/4</f>
        <v>73.075</v>
      </c>
    </row>
    <row r="18" ht="22" customHeight="1" spans="1:22">
      <c r="A18" s="57"/>
      <c r="B18" s="19" t="s">
        <v>40</v>
      </c>
      <c r="C18" s="19" t="s">
        <v>46</v>
      </c>
      <c r="D18" s="54" t="s">
        <v>26</v>
      </c>
      <c r="E18" s="54"/>
      <c r="F18" s="55">
        <v>77.231</v>
      </c>
      <c r="G18" s="55">
        <v>81.257</v>
      </c>
      <c r="H18" s="4">
        <f t="shared" si="0"/>
        <v>4.02600000000001</v>
      </c>
      <c r="I18" s="19" t="s">
        <v>36</v>
      </c>
      <c r="J18" s="24">
        <v>9</v>
      </c>
      <c r="K18" s="19" t="s">
        <v>126</v>
      </c>
      <c r="L18" s="19" t="s">
        <v>23</v>
      </c>
      <c r="M18" s="19" t="s">
        <v>178</v>
      </c>
      <c r="N18" s="68">
        <f t="shared" si="1"/>
        <v>237.326000000001</v>
      </c>
      <c r="O18" s="68">
        <v>36.026</v>
      </c>
      <c r="P18" s="69">
        <f t="shared" si="2"/>
        <v>201.300000000001</v>
      </c>
      <c r="Q18" s="19">
        <v>2018</v>
      </c>
      <c r="R18" s="19" t="s">
        <v>31</v>
      </c>
      <c r="S18" s="19" t="s">
        <v>176</v>
      </c>
      <c r="T18" s="44">
        <v>281.324</v>
      </c>
      <c r="U18" s="44">
        <v>285.35</v>
      </c>
      <c r="V18" s="44">
        <f>330.7/4</f>
        <v>82.675</v>
      </c>
    </row>
    <row r="19" ht="39" customHeight="1" spans="1:22">
      <c r="A19" s="57"/>
      <c r="B19" s="19" t="s">
        <v>40</v>
      </c>
      <c r="C19" s="19" t="s">
        <v>46</v>
      </c>
      <c r="D19" s="54" t="s">
        <v>26</v>
      </c>
      <c r="E19" s="54"/>
      <c r="F19" s="55">
        <v>84.612</v>
      </c>
      <c r="G19" s="55">
        <v>92.6</v>
      </c>
      <c r="H19" s="4">
        <f t="shared" si="0"/>
        <v>7.988</v>
      </c>
      <c r="I19" s="19" t="s">
        <v>28</v>
      </c>
      <c r="J19" s="24">
        <v>7</v>
      </c>
      <c r="K19" s="19" t="s">
        <v>110</v>
      </c>
      <c r="L19" s="19" t="s">
        <v>22</v>
      </c>
      <c r="M19" s="19" t="s">
        <v>122</v>
      </c>
      <c r="N19" s="68">
        <f t="shared" si="1"/>
        <v>1173.4372</v>
      </c>
      <c r="O19" s="68">
        <v>774.0372</v>
      </c>
      <c r="P19" s="69">
        <f t="shared" si="2"/>
        <v>399.4</v>
      </c>
      <c r="Q19" s="19">
        <v>2018</v>
      </c>
      <c r="R19" s="19" t="s">
        <v>31</v>
      </c>
      <c r="S19" s="19" t="s">
        <v>176</v>
      </c>
      <c r="T19" s="44">
        <v>288.705</v>
      </c>
      <c r="U19" s="44">
        <f>296.013+0.68</f>
        <v>296.693</v>
      </c>
      <c r="V19" s="44">
        <f>656.7/8</f>
        <v>82.0875</v>
      </c>
    </row>
    <row r="20" ht="37" customHeight="1" spans="1:22">
      <c r="A20" s="56"/>
      <c r="B20" s="19" t="s">
        <v>40</v>
      </c>
      <c r="C20" s="19" t="s">
        <v>46</v>
      </c>
      <c r="D20" s="54" t="s">
        <v>26</v>
      </c>
      <c r="E20" s="54"/>
      <c r="F20" s="55">
        <v>119</v>
      </c>
      <c r="G20" s="55">
        <v>129.511</v>
      </c>
      <c r="H20" s="4">
        <f t="shared" si="0"/>
        <v>10.511</v>
      </c>
      <c r="I20" s="19" t="s">
        <v>28</v>
      </c>
      <c r="J20" s="24">
        <v>7</v>
      </c>
      <c r="K20" s="19" t="s">
        <v>110</v>
      </c>
      <c r="L20" s="19" t="s">
        <v>22</v>
      </c>
      <c r="M20" s="19" t="s">
        <v>122</v>
      </c>
      <c r="N20" s="68">
        <f t="shared" si="1"/>
        <v>1544.0659</v>
      </c>
      <c r="O20" s="68">
        <v>1018.5159</v>
      </c>
      <c r="P20" s="69">
        <f t="shared" si="2"/>
        <v>525.55</v>
      </c>
      <c r="Q20" s="19">
        <v>2018</v>
      </c>
      <c r="R20" s="19" t="s">
        <v>31</v>
      </c>
      <c r="S20" s="19" t="s">
        <v>176</v>
      </c>
      <c r="T20" s="44">
        <v>323.093</v>
      </c>
      <c r="U20" s="44">
        <v>333.604</v>
      </c>
      <c r="V20" s="44">
        <f>969.5/11</f>
        <v>88.1363636363636</v>
      </c>
    </row>
    <row r="21" ht="48" customHeight="1" spans="1:22">
      <c r="A21" s="53">
        <v>5</v>
      </c>
      <c r="B21" s="19" t="s">
        <v>124</v>
      </c>
      <c r="C21" s="19" t="s">
        <v>124</v>
      </c>
      <c r="D21" s="54" t="s">
        <v>125</v>
      </c>
      <c r="E21" s="54"/>
      <c r="F21" s="55">
        <v>187.78</v>
      </c>
      <c r="G21" s="55">
        <v>190.8</v>
      </c>
      <c r="H21" s="4">
        <f t="shared" si="0"/>
        <v>3.02000000000001</v>
      </c>
      <c r="I21" s="19" t="s">
        <v>36</v>
      </c>
      <c r="J21" s="24">
        <v>9</v>
      </c>
      <c r="K21" s="19" t="s">
        <v>126</v>
      </c>
      <c r="L21" s="19" t="s">
        <v>22</v>
      </c>
      <c r="M21" s="19" t="s">
        <v>127</v>
      </c>
      <c r="N21" s="68">
        <f t="shared" si="1"/>
        <v>689.466000000002</v>
      </c>
      <c r="O21" s="68">
        <v>538.466000000002</v>
      </c>
      <c r="P21" s="69">
        <f t="shared" si="2"/>
        <v>151.000000000001</v>
      </c>
      <c r="Q21" s="19">
        <v>2018</v>
      </c>
      <c r="R21" s="19" t="s">
        <v>128</v>
      </c>
      <c r="S21" s="19" t="s">
        <v>176</v>
      </c>
      <c r="T21" s="44">
        <v>184.205</v>
      </c>
      <c r="U21" s="44">
        <v>187.225</v>
      </c>
      <c r="V21" s="44">
        <f>246.8/3</f>
        <v>82.2666666666667</v>
      </c>
    </row>
    <row r="22" ht="45" customHeight="1" spans="1:22">
      <c r="A22" s="56"/>
      <c r="B22" s="19" t="s">
        <v>124</v>
      </c>
      <c r="C22" s="19" t="s">
        <v>124</v>
      </c>
      <c r="D22" s="54" t="s">
        <v>125</v>
      </c>
      <c r="E22" s="54"/>
      <c r="F22" s="12">
        <v>192.299</v>
      </c>
      <c r="G22" s="55">
        <v>192.6</v>
      </c>
      <c r="H22" s="4">
        <f t="shared" si="0"/>
        <v>0.300999999999988</v>
      </c>
      <c r="I22" s="19" t="s">
        <v>36</v>
      </c>
      <c r="J22" s="24">
        <v>9</v>
      </c>
      <c r="K22" s="19" t="s">
        <v>126</v>
      </c>
      <c r="L22" s="19" t="s">
        <v>22</v>
      </c>
      <c r="M22" s="19" t="s">
        <v>127</v>
      </c>
      <c r="N22" s="68">
        <f t="shared" si="1"/>
        <v>68.7182999999972</v>
      </c>
      <c r="O22" s="68">
        <v>53.6682999999978</v>
      </c>
      <c r="P22" s="69">
        <f t="shared" si="2"/>
        <v>15.0499999999994</v>
      </c>
      <c r="Q22" s="19">
        <v>2018</v>
      </c>
      <c r="R22" s="19" t="s">
        <v>128</v>
      </c>
      <c r="S22" s="19" t="s">
        <v>176</v>
      </c>
      <c r="T22" s="44">
        <v>188.724</v>
      </c>
      <c r="U22" s="52">
        <f t="shared" ref="U22:U29" si="3">T22+H22</f>
        <v>189.025</v>
      </c>
      <c r="V22" s="44">
        <v>82.3</v>
      </c>
    </row>
    <row r="23" ht="59.25" customHeight="1" spans="1:22">
      <c r="A23" s="53">
        <v>6</v>
      </c>
      <c r="B23" s="19" t="s">
        <v>57</v>
      </c>
      <c r="C23" s="19" t="s">
        <v>58</v>
      </c>
      <c r="D23" s="19" t="s">
        <v>26</v>
      </c>
      <c r="E23" s="54"/>
      <c r="F23" s="4">
        <v>14.7</v>
      </c>
      <c r="G23" s="4">
        <v>15.4</v>
      </c>
      <c r="H23" s="4">
        <v>0.7</v>
      </c>
      <c r="I23" s="19" t="s">
        <v>36</v>
      </c>
      <c r="J23" s="24">
        <v>9</v>
      </c>
      <c r="K23" s="19" t="s">
        <v>86</v>
      </c>
      <c r="L23" s="18" t="s">
        <v>22</v>
      </c>
      <c r="M23" s="19" t="s">
        <v>158</v>
      </c>
      <c r="N23" s="13">
        <f t="shared" si="1"/>
        <v>109.41</v>
      </c>
      <c r="O23" s="13">
        <f t="shared" ref="O23:O29" si="4">(H23*1000*J23*(0.2*200+8+0.06*1150)+H23*10000)/10000</f>
        <v>74.41</v>
      </c>
      <c r="P23" s="13">
        <f t="shared" si="2"/>
        <v>35</v>
      </c>
      <c r="Q23" s="15">
        <v>2018</v>
      </c>
      <c r="R23" s="19" t="s">
        <v>61</v>
      </c>
      <c r="S23" s="15" t="s">
        <v>142</v>
      </c>
      <c r="T23" s="44">
        <f>122.782+1.7</f>
        <v>124.482</v>
      </c>
      <c r="U23" s="52">
        <f t="shared" si="3"/>
        <v>125.182</v>
      </c>
      <c r="V23" s="44">
        <v>87.3</v>
      </c>
    </row>
    <row r="24" ht="30" customHeight="1" spans="1:22">
      <c r="A24" s="57"/>
      <c r="B24" s="19" t="s">
        <v>57</v>
      </c>
      <c r="C24" s="19" t="s">
        <v>58</v>
      </c>
      <c r="D24" s="19" t="s">
        <v>26</v>
      </c>
      <c r="E24" s="54"/>
      <c r="F24" s="4">
        <v>16.6</v>
      </c>
      <c r="G24" s="4">
        <v>17.2</v>
      </c>
      <c r="H24" s="4">
        <v>0.6</v>
      </c>
      <c r="I24" s="19" t="s">
        <v>36</v>
      </c>
      <c r="J24" s="24">
        <v>9</v>
      </c>
      <c r="K24" s="19" t="s">
        <v>86</v>
      </c>
      <c r="L24" s="18" t="s">
        <v>22</v>
      </c>
      <c r="M24" s="19" t="s">
        <v>158</v>
      </c>
      <c r="N24" s="13">
        <f t="shared" si="1"/>
        <v>93.78</v>
      </c>
      <c r="O24" s="13">
        <f t="shared" si="4"/>
        <v>63.78</v>
      </c>
      <c r="P24" s="13">
        <f t="shared" si="2"/>
        <v>30</v>
      </c>
      <c r="Q24" s="15">
        <v>2018</v>
      </c>
      <c r="R24" s="19" t="s">
        <v>61</v>
      </c>
      <c r="S24" s="15" t="s">
        <v>142</v>
      </c>
      <c r="T24" s="44">
        <f>122.782+3.6</f>
        <v>126.382</v>
      </c>
      <c r="U24" s="52">
        <f t="shared" si="3"/>
        <v>126.982</v>
      </c>
      <c r="V24" s="44">
        <v>83.7</v>
      </c>
    </row>
    <row r="25" ht="33" customHeight="1" spans="1:22">
      <c r="A25" s="57"/>
      <c r="B25" s="19" t="s">
        <v>57</v>
      </c>
      <c r="C25" s="19" t="s">
        <v>58</v>
      </c>
      <c r="D25" s="19" t="s">
        <v>26</v>
      </c>
      <c r="E25" s="54"/>
      <c r="F25" s="4">
        <v>22.4</v>
      </c>
      <c r="G25" s="4">
        <v>24.418</v>
      </c>
      <c r="H25" s="4">
        <v>2.018</v>
      </c>
      <c r="I25" s="19" t="s">
        <v>36</v>
      </c>
      <c r="J25" s="24">
        <v>9</v>
      </c>
      <c r="K25" s="19" t="s">
        <v>86</v>
      </c>
      <c r="L25" s="18" t="s">
        <v>22</v>
      </c>
      <c r="M25" s="19" t="s">
        <v>158</v>
      </c>
      <c r="N25" s="13">
        <f t="shared" si="1"/>
        <v>315.4134</v>
      </c>
      <c r="O25" s="13">
        <f t="shared" si="4"/>
        <v>214.5134</v>
      </c>
      <c r="P25" s="13">
        <f t="shared" si="2"/>
        <v>100.9</v>
      </c>
      <c r="Q25" s="15">
        <v>2018</v>
      </c>
      <c r="R25" s="19" t="s">
        <v>61</v>
      </c>
      <c r="S25" s="15" t="s">
        <v>142</v>
      </c>
      <c r="T25" s="44">
        <f>138.25-6.068</f>
        <v>132.182</v>
      </c>
      <c r="U25" s="52">
        <f t="shared" si="3"/>
        <v>134.2</v>
      </c>
      <c r="V25" s="44">
        <f>(92.2+89.1)/2</f>
        <v>90.65</v>
      </c>
    </row>
    <row r="26" ht="36" customHeight="1" spans="1:22">
      <c r="A26" s="57"/>
      <c r="B26" s="19" t="s">
        <v>57</v>
      </c>
      <c r="C26" s="19" t="s">
        <v>58</v>
      </c>
      <c r="D26" s="19" t="s">
        <v>26</v>
      </c>
      <c r="E26" s="54"/>
      <c r="F26" s="4">
        <v>31.2</v>
      </c>
      <c r="G26" s="4">
        <v>32</v>
      </c>
      <c r="H26" s="4">
        <v>0.8</v>
      </c>
      <c r="I26" s="19" t="s">
        <v>36</v>
      </c>
      <c r="J26" s="24">
        <v>9</v>
      </c>
      <c r="K26" s="19" t="s">
        <v>86</v>
      </c>
      <c r="L26" s="18" t="s">
        <v>22</v>
      </c>
      <c r="M26" s="19" t="s">
        <v>158</v>
      </c>
      <c r="N26" s="13">
        <f t="shared" si="1"/>
        <v>125.04</v>
      </c>
      <c r="O26" s="13">
        <f t="shared" si="4"/>
        <v>85.04</v>
      </c>
      <c r="P26" s="13">
        <f t="shared" si="2"/>
        <v>40</v>
      </c>
      <c r="Q26" s="15">
        <v>2018</v>
      </c>
      <c r="R26" s="19" t="s">
        <v>61</v>
      </c>
      <c r="S26" s="15" t="s">
        <v>142</v>
      </c>
      <c r="T26" s="44">
        <f>1.967+139.015</f>
        <v>140.982</v>
      </c>
      <c r="U26" s="52">
        <f t="shared" si="3"/>
        <v>141.782</v>
      </c>
      <c r="V26" s="44">
        <v>86.6</v>
      </c>
    </row>
    <row r="27" ht="31" customHeight="1" spans="1:22">
      <c r="A27" s="57"/>
      <c r="B27" s="19" t="s">
        <v>57</v>
      </c>
      <c r="C27" s="19" t="s">
        <v>58</v>
      </c>
      <c r="D27" s="19" t="s">
        <v>26</v>
      </c>
      <c r="E27" s="54"/>
      <c r="F27" s="4">
        <v>32.6</v>
      </c>
      <c r="G27" s="4">
        <v>32.9</v>
      </c>
      <c r="H27" s="4">
        <v>0.3</v>
      </c>
      <c r="I27" s="19" t="s">
        <v>36</v>
      </c>
      <c r="J27" s="24">
        <v>9</v>
      </c>
      <c r="K27" s="19" t="s">
        <v>86</v>
      </c>
      <c r="L27" s="18" t="s">
        <v>22</v>
      </c>
      <c r="M27" s="19" t="s">
        <v>158</v>
      </c>
      <c r="N27" s="13">
        <f t="shared" si="1"/>
        <v>46.89</v>
      </c>
      <c r="O27" s="13">
        <f t="shared" si="4"/>
        <v>31.89</v>
      </c>
      <c r="P27" s="13">
        <f t="shared" si="2"/>
        <v>15</v>
      </c>
      <c r="Q27" s="15">
        <v>2018</v>
      </c>
      <c r="R27" s="19" t="s">
        <v>61</v>
      </c>
      <c r="S27" s="15" t="s">
        <v>142</v>
      </c>
      <c r="T27" s="44">
        <f>141.782+0.6</f>
        <v>142.382</v>
      </c>
      <c r="U27" s="52">
        <f t="shared" si="3"/>
        <v>142.682</v>
      </c>
      <c r="V27" s="44">
        <v>82.9</v>
      </c>
    </row>
    <row r="28" ht="28" customHeight="1" spans="1:22">
      <c r="A28" s="57"/>
      <c r="B28" s="19" t="s">
        <v>57</v>
      </c>
      <c r="C28" s="19" t="s">
        <v>58</v>
      </c>
      <c r="D28" s="19" t="s">
        <v>26</v>
      </c>
      <c r="E28" s="54"/>
      <c r="F28" s="4">
        <v>34.1</v>
      </c>
      <c r="G28" s="4">
        <v>34.7</v>
      </c>
      <c r="H28" s="4">
        <v>0.6</v>
      </c>
      <c r="I28" s="19" t="s">
        <v>36</v>
      </c>
      <c r="J28" s="24">
        <v>9</v>
      </c>
      <c r="K28" s="19" t="s">
        <v>86</v>
      </c>
      <c r="L28" s="18" t="s">
        <v>22</v>
      </c>
      <c r="M28" s="19" t="s">
        <v>158</v>
      </c>
      <c r="N28" s="13">
        <f t="shared" si="1"/>
        <v>93.78</v>
      </c>
      <c r="O28" s="13">
        <f t="shared" si="4"/>
        <v>63.78</v>
      </c>
      <c r="P28" s="13">
        <f t="shared" si="2"/>
        <v>30</v>
      </c>
      <c r="Q28" s="15">
        <v>2018</v>
      </c>
      <c r="R28" s="19" t="s">
        <v>61</v>
      </c>
      <c r="S28" s="15" t="s">
        <v>142</v>
      </c>
      <c r="T28" s="44">
        <f>4.867+139.015</f>
        <v>143.882</v>
      </c>
      <c r="U28" s="52">
        <f t="shared" si="3"/>
        <v>144.482</v>
      </c>
      <c r="V28" s="44">
        <v>90</v>
      </c>
    </row>
    <row r="29" ht="30" customHeight="1" spans="1:22">
      <c r="A29" s="56"/>
      <c r="B29" s="19" t="s">
        <v>57</v>
      </c>
      <c r="C29" s="19" t="s">
        <v>58</v>
      </c>
      <c r="D29" s="19" t="s">
        <v>26</v>
      </c>
      <c r="E29" s="54"/>
      <c r="F29" s="4">
        <v>35.6</v>
      </c>
      <c r="G29" s="4">
        <v>36.3</v>
      </c>
      <c r="H29" s="4">
        <v>0.7</v>
      </c>
      <c r="I29" s="19" t="s">
        <v>36</v>
      </c>
      <c r="J29" s="24">
        <v>9</v>
      </c>
      <c r="K29" s="19" t="s">
        <v>86</v>
      </c>
      <c r="L29" s="19" t="s">
        <v>22</v>
      </c>
      <c r="M29" s="19" t="s">
        <v>158</v>
      </c>
      <c r="N29" s="13">
        <f t="shared" si="1"/>
        <v>109.41</v>
      </c>
      <c r="O29" s="13">
        <f t="shared" si="4"/>
        <v>74.41</v>
      </c>
      <c r="P29" s="13">
        <f t="shared" si="2"/>
        <v>35</v>
      </c>
      <c r="Q29" s="15">
        <v>2018</v>
      </c>
      <c r="R29" s="19" t="s">
        <v>61</v>
      </c>
      <c r="S29" s="15" t="s">
        <v>142</v>
      </c>
      <c r="T29" s="44">
        <f>144.482+0.9</f>
        <v>145.382</v>
      </c>
      <c r="U29" s="52">
        <f t="shared" si="3"/>
        <v>146.082</v>
      </c>
      <c r="V29" s="44">
        <v>87.6</v>
      </c>
    </row>
    <row r="30" ht="43" customHeight="1" spans="1:22">
      <c r="A30" s="44">
        <v>7</v>
      </c>
      <c r="B30" s="19" t="s">
        <v>130</v>
      </c>
      <c r="C30" s="19" t="s">
        <v>130</v>
      </c>
      <c r="D30" s="54" t="s">
        <v>125</v>
      </c>
      <c r="E30" s="54"/>
      <c r="F30" s="55">
        <v>1963.558</v>
      </c>
      <c r="G30" s="55">
        <v>1969.9</v>
      </c>
      <c r="H30" s="4">
        <f t="shared" ref="H30:H33" si="5">G30-F30</f>
        <v>6.3420000000001</v>
      </c>
      <c r="I30" s="19" t="s">
        <v>36</v>
      </c>
      <c r="J30" s="24">
        <v>12</v>
      </c>
      <c r="K30" s="19" t="s">
        <v>126</v>
      </c>
      <c r="L30" s="19" t="s">
        <v>22</v>
      </c>
      <c r="M30" s="19" t="s">
        <v>131</v>
      </c>
      <c r="N30" s="68">
        <f t="shared" si="1"/>
        <v>1822.69080000003</v>
      </c>
      <c r="O30" s="68">
        <v>1505.59080000002</v>
      </c>
      <c r="P30" s="69">
        <f t="shared" si="2"/>
        <v>317.100000000005</v>
      </c>
      <c r="Q30" s="19">
        <v>2018</v>
      </c>
      <c r="R30" s="19" t="s">
        <v>45</v>
      </c>
      <c r="S30" s="19" t="s">
        <v>176</v>
      </c>
      <c r="T30" s="44">
        <v>1963.677</v>
      </c>
      <c r="U30" s="44">
        <v>1970.019</v>
      </c>
      <c r="V30" s="44">
        <f>517.2/6</f>
        <v>86.2</v>
      </c>
    </row>
    <row r="31" ht="42" customHeight="1" spans="1:22">
      <c r="A31" s="53">
        <v>8</v>
      </c>
      <c r="B31" s="15" t="s">
        <v>132</v>
      </c>
      <c r="C31" s="15" t="s">
        <v>132</v>
      </c>
      <c r="D31" s="15" t="s">
        <v>125</v>
      </c>
      <c r="E31" s="54"/>
      <c r="F31" s="4" t="s">
        <v>138</v>
      </c>
      <c r="G31" s="4" t="s">
        <v>179</v>
      </c>
      <c r="H31" s="16">
        <f t="shared" si="5"/>
        <v>18.5999999999999</v>
      </c>
      <c r="I31" s="12" t="s">
        <v>65</v>
      </c>
      <c r="J31" s="12">
        <v>17</v>
      </c>
      <c r="K31" s="12" t="s">
        <v>43</v>
      </c>
      <c r="L31" s="19" t="s">
        <v>22</v>
      </c>
      <c r="M31" s="19" t="s">
        <v>44</v>
      </c>
      <c r="N31" s="71">
        <f t="shared" si="1"/>
        <v>7187.03999999996</v>
      </c>
      <c r="O31" s="15">
        <f>(H31*1000*J31*(8+0.3*200+8+0.06*1150+0.04*1300)+H31*15000)/10000</f>
        <v>6257.03999999997</v>
      </c>
      <c r="P31" s="13">
        <f t="shared" si="2"/>
        <v>929.999999999995</v>
      </c>
      <c r="Q31" s="15">
        <v>2018</v>
      </c>
      <c r="R31" s="15" t="s">
        <v>119</v>
      </c>
      <c r="S31" s="19" t="s">
        <v>176</v>
      </c>
      <c r="T31" s="44">
        <v>2295.372</v>
      </c>
      <c r="U31" s="44">
        <v>2313.972</v>
      </c>
      <c r="V31" s="44">
        <f>(76.9+81.8+84.9+84.9+86.6+80.9+87.3+85.9+85.7+84.7+84.3+85.3+85.4+87.5+85+86.6+85.9+84.8+84.5)/19</f>
        <v>84.678947368421</v>
      </c>
    </row>
    <row r="32" ht="48" customHeight="1" spans="1:22">
      <c r="A32" s="56"/>
      <c r="B32" s="15" t="s">
        <v>132</v>
      </c>
      <c r="C32" s="15" t="s">
        <v>132</v>
      </c>
      <c r="D32" s="15" t="s">
        <v>125</v>
      </c>
      <c r="E32" s="54"/>
      <c r="F32" s="4" t="s">
        <v>179</v>
      </c>
      <c r="G32" s="4" t="s">
        <v>180</v>
      </c>
      <c r="H32" s="16">
        <f t="shared" si="5"/>
        <v>11.7109999999998</v>
      </c>
      <c r="I32" s="12" t="s">
        <v>65</v>
      </c>
      <c r="J32" s="12">
        <v>17</v>
      </c>
      <c r="K32" s="12" t="s">
        <v>43</v>
      </c>
      <c r="L32" s="19" t="s">
        <v>22</v>
      </c>
      <c r="M32" s="19" t="s">
        <v>44</v>
      </c>
      <c r="N32" s="71">
        <f t="shared" si="1"/>
        <v>4525.13039999992</v>
      </c>
      <c r="O32" s="15">
        <f>(H32*1000*J32*(8+0.3*200+8+0.06*1150+0.04*1300)+H32*15000)/10000</f>
        <v>3939.58039999993</v>
      </c>
      <c r="P32" s="13">
        <f t="shared" si="2"/>
        <v>585.549999999989</v>
      </c>
      <c r="Q32" s="15">
        <v>2018</v>
      </c>
      <c r="R32" s="15" t="s">
        <v>119</v>
      </c>
      <c r="S32" s="19" t="s">
        <v>176</v>
      </c>
      <c r="T32" s="44">
        <v>2313.972</v>
      </c>
      <c r="U32" s="44">
        <v>2325.683</v>
      </c>
      <c r="V32" s="44">
        <f>(85.5+85.4+87.7+85.6+86.1+85.6+86.1+85.6+85.1+85.2+85.5+85.2+84.7+83.2)/14</f>
        <v>85.4642857142857</v>
      </c>
    </row>
    <row r="33" ht="30" customHeight="1" spans="1:22">
      <c r="A33" s="44">
        <v>9</v>
      </c>
      <c r="B33" s="12" t="s">
        <v>57</v>
      </c>
      <c r="C33" s="15" t="s">
        <v>181</v>
      </c>
      <c r="D33" s="15" t="s">
        <v>54</v>
      </c>
      <c r="E33" s="54"/>
      <c r="F33" s="16">
        <v>15.547</v>
      </c>
      <c r="G33" s="16">
        <v>21.407</v>
      </c>
      <c r="H33" s="17">
        <f t="shared" si="5"/>
        <v>5.86</v>
      </c>
      <c r="I33" s="12" t="s">
        <v>36</v>
      </c>
      <c r="J33" s="28">
        <v>7.5</v>
      </c>
      <c r="K33" s="28" t="s">
        <v>86</v>
      </c>
      <c r="L33" s="28" t="s">
        <v>22</v>
      </c>
      <c r="M33" s="19" t="s">
        <v>158</v>
      </c>
      <c r="N33" s="71">
        <f>P33+O33</f>
        <v>813.075</v>
      </c>
      <c r="O33" s="13">
        <f>(H33*1000*J33*(0.2*200+8+0.06*1150)+H33*10000)/10000</f>
        <v>520.075</v>
      </c>
      <c r="P33" s="13">
        <f t="shared" si="2"/>
        <v>293</v>
      </c>
      <c r="Q33" s="15">
        <v>2018</v>
      </c>
      <c r="R33" s="15" t="s">
        <v>139</v>
      </c>
      <c r="S33" s="19" t="s">
        <v>176</v>
      </c>
      <c r="T33" s="44">
        <v>63.613</v>
      </c>
      <c r="U33" s="44">
        <v>69.473</v>
      </c>
      <c r="V33" s="44">
        <f>479.1/5</f>
        <v>95.82</v>
      </c>
    </row>
    <row r="34" ht="33" customHeight="1" spans="1:22">
      <c r="A34" s="44">
        <v>10</v>
      </c>
      <c r="B34" s="19" t="s">
        <v>40</v>
      </c>
      <c r="C34" s="19" t="s">
        <v>132</v>
      </c>
      <c r="D34" s="54" t="s">
        <v>125</v>
      </c>
      <c r="E34" s="54"/>
      <c r="F34" s="55">
        <v>2157.967</v>
      </c>
      <c r="G34" s="55">
        <v>2162.714</v>
      </c>
      <c r="H34" s="58">
        <v>4.747</v>
      </c>
      <c r="I34" s="19" t="s">
        <v>36</v>
      </c>
      <c r="J34" s="24">
        <v>12</v>
      </c>
      <c r="K34" s="19" t="s">
        <v>110</v>
      </c>
      <c r="L34" s="19" t="s">
        <v>22</v>
      </c>
      <c r="M34" s="19" t="s">
        <v>111</v>
      </c>
      <c r="N34" s="71">
        <f t="shared" ref="N34:N50" si="6">O34+P34</f>
        <v>1253.208</v>
      </c>
      <c r="O34" s="13">
        <f>(H34*1000*J34*(0.3*200+8+0.05*1150+0.04*1300)+H34*10000)/10000</f>
        <v>1015.858</v>
      </c>
      <c r="P34" s="15">
        <f>H34*50</f>
        <v>237.35</v>
      </c>
      <c r="Q34" s="19">
        <v>2018</v>
      </c>
      <c r="R34" s="19" t="s">
        <v>139</v>
      </c>
      <c r="S34" s="19" t="s">
        <v>176</v>
      </c>
      <c r="T34" s="44">
        <v>2172.189</v>
      </c>
      <c r="U34" s="44">
        <f>0.477+2176.459</f>
        <v>2176.936</v>
      </c>
      <c r="V34" s="44">
        <f>198.6/3</f>
        <v>66.2</v>
      </c>
    </row>
    <row r="35" ht="51" customHeight="1" spans="1:22">
      <c r="A35" s="59">
        <v>11</v>
      </c>
      <c r="B35" s="13" t="s">
        <v>140</v>
      </c>
      <c r="C35" s="13" t="s">
        <v>140</v>
      </c>
      <c r="D35" s="13" t="s">
        <v>125</v>
      </c>
      <c r="E35" s="54"/>
      <c r="F35" s="4">
        <v>487.3</v>
      </c>
      <c r="G35" s="4">
        <v>488.6</v>
      </c>
      <c r="H35" s="4">
        <f t="shared" ref="H35:H66" si="7">G35-F35</f>
        <v>1.30000000000001</v>
      </c>
      <c r="I35" s="19" t="s">
        <v>36</v>
      </c>
      <c r="J35" s="24">
        <v>12</v>
      </c>
      <c r="K35" s="19" t="s">
        <v>86</v>
      </c>
      <c r="L35" s="15" t="s">
        <v>22</v>
      </c>
      <c r="M35" s="19" t="s">
        <v>182</v>
      </c>
      <c r="N35" s="13">
        <f t="shared" si="6"/>
        <v>361.140000000003</v>
      </c>
      <c r="O35" s="13">
        <f t="shared" ref="O35:O38" si="8">(H35*1000*J35*(0.3*200+8+0.06*1150+0.04*1300)+H35*10000)/10000</f>
        <v>296.140000000003</v>
      </c>
      <c r="P35" s="13">
        <f t="shared" ref="P35:P66" si="9">50*H35</f>
        <v>65.0000000000006</v>
      </c>
      <c r="Q35" s="15">
        <v>2018</v>
      </c>
      <c r="R35" s="19" t="s">
        <v>67</v>
      </c>
      <c r="S35" s="15" t="s">
        <v>142</v>
      </c>
      <c r="T35" s="44">
        <f>470.615-0.015</f>
        <v>470.6</v>
      </c>
      <c r="U35" s="44">
        <v>471.9</v>
      </c>
      <c r="V35" s="44">
        <v>86.5</v>
      </c>
    </row>
    <row r="36" ht="46" customHeight="1" spans="1:22">
      <c r="A36" s="60"/>
      <c r="B36" s="13" t="s">
        <v>140</v>
      </c>
      <c r="C36" s="13" t="s">
        <v>140</v>
      </c>
      <c r="D36" s="13" t="s">
        <v>125</v>
      </c>
      <c r="E36" s="54"/>
      <c r="F36" s="4">
        <v>491.4</v>
      </c>
      <c r="G36" s="4">
        <v>492</v>
      </c>
      <c r="H36" s="4">
        <f t="shared" si="7"/>
        <v>0.600000000000023</v>
      </c>
      <c r="I36" s="19" t="s">
        <v>36</v>
      </c>
      <c r="J36" s="24">
        <v>12</v>
      </c>
      <c r="K36" s="19" t="s">
        <v>86</v>
      </c>
      <c r="L36" s="15" t="s">
        <v>22</v>
      </c>
      <c r="M36" s="19" t="s">
        <v>183</v>
      </c>
      <c r="N36" s="13">
        <f t="shared" si="6"/>
        <v>166.680000000006</v>
      </c>
      <c r="O36" s="13">
        <f t="shared" si="8"/>
        <v>136.680000000005</v>
      </c>
      <c r="P36" s="13">
        <f t="shared" si="9"/>
        <v>30.0000000000011</v>
      </c>
      <c r="Q36" s="15">
        <v>2018</v>
      </c>
      <c r="R36" s="19" t="s">
        <v>67</v>
      </c>
      <c r="S36" s="15" t="s">
        <v>142</v>
      </c>
      <c r="T36" s="44">
        <f>474.72-0.02</f>
        <v>474.7</v>
      </c>
      <c r="U36" s="44">
        <v>475.3</v>
      </c>
      <c r="V36" s="44">
        <v>96.9</v>
      </c>
    </row>
    <row r="37" ht="36" spans="1:22">
      <c r="A37" s="60">
        <v>11</v>
      </c>
      <c r="B37" s="13" t="s">
        <v>140</v>
      </c>
      <c r="C37" s="13" t="s">
        <v>140</v>
      </c>
      <c r="D37" s="13" t="s">
        <v>125</v>
      </c>
      <c r="E37" s="54"/>
      <c r="F37" s="4">
        <v>501.5</v>
      </c>
      <c r="G37" s="4">
        <v>502.2</v>
      </c>
      <c r="H37" s="4">
        <f t="shared" si="7"/>
        <v>0.699999999999989</v>
      </c>
      <c r="I37" s="19" t="s">
        <v>36</v>
      </c>
      <c r="J37" s="24">
        <v>12</v>
      </c>
      <c r="K37" s="19" t="s">
        <v>86</v>
      </c>
      <c r="L37" s="15" t="s">
        <v>22</v>
      </c>
      <c r="M37" s="19" t="s">
        <v>184</v>
      </c>
      <c r="N37" s="13">
        <f t="shared" si="6"/>
        <v>194.459999999997</v>
      </c>
      <c r="O37" s="13">
        <f t="shared" si="8"/>
        <v>159.459999999997</v>
      </c>
      <c r="P37" s="13">
        <f t="shared" si="9"/>
        <v>34.9999999999994</v>
      </c>
      <c r="Q37" s="15">
        <v>2018</v>
      </c>
      <c r="R37" s="19" t="s">
        <v>67</v>
      </c>
      <c r="S37" s="15" t="s">
        <v>142</v>
      </c>
      <c r="T37" s="44">
        <v>484.8</v>
      </c>
      <c r="U37" s="44">
        <f>485.44+0.06</f>
        <v>485.5</v>
      </c>
      <c r="V37" s="44">
        <v>95.1</v>
      </c>
    </row>
    <row r="38" ht="40" customHeight="1" spans="1:22">
      <c r="A38" s="61"/>
      <c r="B38" s="13" t="s">
        <v>140</v>
      </c>
      <c r="C38" s="13" t="s">
        <v>140</v>
      </c>
      <c r="D38" s="13" t="s">
        <v>125</v>
      </c>
      <c r="E38" s="54"/>
      <c r="F38" s="4">
        <v>507.4</v>
      </c>
      <c r="G38" s="4">
        <v>507.987</v>
      </c>
      <c r="H38" s="4">
        <f t="shared" si="7"/>
        <v>0.587000000000046</v>
      </c>
      <c r="I38" s="19" t="s">
        <v>36</v>
      </c>
      <c r="J38" s="24">
        <v>12</v>
      </c>
      <c r="K38" s="19" t="s">
        <v>86</v>
      </c>
      <c r="L38" s="15" t="s">
        <v>22</v>
      </c>
      <c r="M38" s="19" t="s">
        <v>177</v>
      </c>
      <c r="N38" s="13">
        <f t="shared" si="6"/>
        <v>163.068600000013</v>
      </c>
      <c r="O38" s="13">
        <f t="shared" si="8"/>
        <v>133.71860000001</v>
      </c>
      <c r="P38" s="13">
        <f t="shared" si="9"/>
        <v>29.3500000000023</v>
      </c>
      <c r="Q38" s="15">
        <v>2018</v>
      </c>
      <c r="R38" s="19" t="s">
        <v>67</v>
      </c>
      <c r="S38" s="15" t="s">
        <v>142</v>
      </c>
      <c r="T38" s="44">
        <f>490.76-0.06</f>
        <v>490.7</v>
      </c>
      <c r="U38" s="44">
        <v>491.287</v>
      </c>
      <c r="V38" s="44">
        <v>91.4</v>
      </c>
    </row>
    <row r="39" ht="46" customHeight="1" spans="1:22">
      <c r="A39" s="59">
        <v>12</v>
      </c>
      <c r="B39" s="12" t="s">
        <v>140</v>
      </c>
      <c r="C39" s="12" t="s">
        <v>140</v>
      </c>
      <c r="D39" s="15" t="s">
        <v>125</v>
      </c>
      <c r="E39" s="54"/>
      <c r="F39" s="4">
        <v>447.227</v>
      </c>
      <c r="G39" s="4" t="s">
        <v>185</v>
      </c>
      <c r="H39" s="16">
        <f t="shared" si="7"/>
        <v>0.373000000000047</v>
      </c>
      <c r="I39" s="12" t="s">
        <v>65</v>
      </c>
      <c r="J39" s="12">
        <v>12</v>
      </c>
      <c r="K39" s="12" t="s">
        <v>43</v>
      </c>
      <c r="L39" s="19" t="s">
        <v>22</v>
      </c>
      <c r="M39" s="19" t="s">
        <v>44</v>
      </c>
      <c r="N39" s="71">
        <f t="shared" si="6"/>
        <v>107.386700000014</v>
      </c>
      <c r="O39" s="15">
        <f t="shared" ref="O39:O45" si="10">(H39*1000*J39*(8+0.3*200+8+0.06*1150+0.04*1300)+H39*15000)/10000</f>
        <v>88.7367000000112</v>
      </c>
      <c r="P39" s="13">
        <f t="shared" si="9"/>
        <v>18.6500000000024</v>
      </c>
      <c r="Q39" s="15">
        <v>2018</v>
      </c>
      <c r="R39" s="19" t="s">
        <v>67</v>
      </c>
      <c r="S39" s="19" t="s">
        <v>176</v>
      </c>
      <c r="T39" s="44">
        <v>447.227</v>
      </c>
      <c r="U39" s="44">
        <v>447.6</v>
      </c>
      <c r="V39" s="44"/>
    </row>
    <row r="40" ht="43" customHeight="1" spans="1:22">
      <c r="A40" s="60"/>
      <c r="B40" s="12" t="s">
        <v>140</v>
      </c>
      <c r="C40" s="12" t="s">
        <v>140</v>
      </c>
      <c r="D40" s="15" t="s">
        <v>125</v>
      </c>
      <c r="E40" s="54"/>
      <c r="F40" s="4" t="s">
        <v>185</v>
      </c>
      <c r="G40" s="4" t="s">
        <v>186</v>
      </c>
      <c r="H40" s="16">
        <f t="shared" si="7"/>
        <v>0.439999999999998</v>
      </c>
      <c r="I40" s="12" t="s">
        <v>65</v>
      </c>
      <c r="J40" s="12">
        <v>12</v>
      </c>
      <c r="K40" s="12" t="s">
        <v>43</v>
      </c>
      <c r="L40" s="19" t="s">
        <v>22</v>
      </c>
      <c r="M40" s="19" t="s">
        <v>44</v>
      </c>
      <c r="N40" s="71">
        <f t="shared" si="6"/>
        <v>126.675999999999</v>
      </c>
      <c r="O40" s="15">
        <f t="shared" si="10"/>
        <v>104.675999999999</v>
      </c>
      <c r="P40" s="13">
        <f t="shared" si="9"/>
        <v>21.9999999999999</v>
      </c>
      <c r="Q40" s="15">
        <v>2018</v>
      </c>
      <c r="R40" s="19" t="s">
        <v>67</v>
      </c>
      <c r="S40" s="19" t="s">
        <v>176</v>
      </c>
      <c r="T40" s="44">
        <v>447.6</v>
      </c>
      <c r="U40" s="44">
        <v>448.04</v>
      </c>
      <c r="V40" s="44"/>
    </row>
    <row r="41" ht="40" customHeight="1" spans="1:22">
      <c r="A41" s="60"/>
      <c r="B41" s="12" t="s">
        <v>140</v>
      </c>
      <c r="C41" s="12" t="s">
        <v>140</v>
      </c>
      <c r="D41" s="15" t="s">
        <v>125</v>
      </c>
      <c r="E41" s="54"/>
      <c r="F41" s="4">
        <v>453.817</v>
      </c>
      <c r="G41" s="4" t="s">
        <v>187</v>
      </c>
      <c r="H41" s="16">
        <f t="shared" si="7"/>
        <v>0.951999999999998</v>
      </c>
      <c r="I41" s="12" t="s">
        <v>65</v>
      </c>
      <c r="J41" s="12">
        <v>12</v>
      </c>
      <c r="K41" s="12" t="s">
        <v>43</v>
      </c>
      <c r="L41" s="19" t="s">
        <v>22</v>
      </c>
      <c r="M41" s="19" t="s">
        <v>44</v>
      </c>
      <c r="N41" s="71">
        <f t="shared" si="6"/>
        <v>274.080799999999</v>
      </c>
      <c r="O41" s="15">
        <f t="shared" si="10"/>
        <v>226.4808</v>
      </c>
      <c r="P41" s="13">
        <f t="shared" si="9"/>
        <v>47.5999999999999</v>
      </c>
      <c r="Q41" s="15">
        <v>2018</v>
      </c>
      <c r="R41" s="19" t="s">
        <v>67</v>
      </c>
      <c r="S41" s="19" t="s">
        <v>176</v>
      </c>
      <c r="T41" s="44">
        <v>453.817</v>
      </c>
      <c r="U41" s="44">
        <v>454.769</v>
      </c>
      <c r="V41" s="44"/>
    </row>
    <row r="42" ht="46" customHeight="1" spans="1:22">
      <c r="A42" s="60"/>
      <c r="B42" s="12" t="s">
        <v>140</v>
      </c>
      <c r="C42" s="12" t="s">
        <v>140</v>
      </c>
      <c r="D42" s="15" t="s">
        <v>125</v>
      </c>
      <c r="E42" s="54"/>
      <c r="F42" s="4" t="s">
        <v>187</v>
      </c>
      <c r="G42" s="4" t="s">
        <v>188</v>
      </c>
      <c r="H42" s="16">
        <f t="shared" si="7"/>
        <v>2.32099999999997</v>
      </c>
      <c r="I42" s="12" t="s">
        <v>65</v>
      </c>
      <c r="J42" s="12">
        <v>12</v>
      </c>
      <c r="K42" s="12" t="s">
        <v>43</v>
      </c>
      <c r="L42" s="19" t="s">
        <v>22</v>
      </c>
      <c r="M42" s="19" t="s">
        <v>44</v>
      </c>
      <c r="N42" s="71">
        <f t="shared" si="6"/>
        <v>668.215899999991</v>
      </c>
      <c r="O42" s="15">
        <f t="shared" si="10"/>
        <v>552.165899999993</v>
      </c>
      <c r="P42" s="13">
        <f t="shared" si="9"/>
        <v>116.049999999998</v>
      </c>
      <c r="Q42" s="15">
        <v>2018</v>
      </c>
      <c r="R42" s="19" t="s">
        <v>67</v>
      </c>
      <c r="S42" s="19" t="s">
        <v>176</v>
      </c>
      <c r="T42" s="44">
        <v>454.769</v>
      </c>
      <c r="U42" s="44">
        <v>457.09</v>
      </c>
      <c r="V42" s="44"/>
    </row>
    <row r="43" ht="49" customHeight="1" spans="1:22">
      <c r="A43" s="60"/>
      <c r="B43" s="12" t="s">
        <v>140</v>
      </c>
      <c r="C43" s="12" t="s">
        <v>140</v>
      </c>
      <c r="D43" s="15" t="s">
        <v>125</v>
      </c>
      <c r="E43" s="54"/>
      <c r="F43" s="4" t="s">
        <v>189</v>
      </c>
      <c r="G43" s="4" t="s">
        <v>190</v>
      </c>
      <c r="H43" s="16">
        <f t="shared" si="7"/>
        <v>2.69499999999999</v>
      </c>
      <c r="I43" s="12" t="s">
        <v>65</v>
      </c>
      <c r="J43" s="12">
        <v>12</v>
      </c>
      <c r="K43" s="12" t="s">
        <v>43</v>
      </c>
      <c r="L43" s="19" t="s">
        <v>22</v>
      </c>
      <c r="M43" s="19" t="s">
        <v>44</v>
      </c>
      <c r="N43" s="71">
        <f t="shared" si="6"/>
        <v>775.890499999998</v>
      </c>
      <c r="O43" s="15">
        <f t="shared" si="10"/>
        <v>641.140499999998</v>
      </c>
      <c r="P43" s="13">
        <f t="shared" si="9"/>
        <v>134.75</v>
      </c>
      <c r="Q43" s="15">
        <v>2018</v>
      </c>
      <c r="R43" s="19" t="s">
        <v>67</v>
      </c>
      <c r="S43" s="19" t="s">
        <v>176</v>
      </c>
      <c r="T43" s="44"/>
      <c r="U43" s="44"/>
      <c r="V43" s="44"/>
    </row>
    <row r="44" ht="43" customHeight="1" spans="1:22">
      <c r="A44" s="60"/>
      <c r="B44" s="12" t="s">
        <v>140</v>
      </c>
      <c r="C44" s="12" t="s">
        <v>140</v>
      </c>
      <c r="D44" s="15" t="s">
        <v>125</v>
      </c>
      <c r="E44" s="54"/>
      <c r="F44" s="4">
        <v>465</v>
      </c>
      <c r="G44" s="4" t="s">
        <v>191</v>
      </c>
      <c r="H44" s="16">
        <f t="shared" si="7"/>
        <v>1.30000000000001</v>
      </c>
      <c r="I44" s="12" t="s">
        <v>65</v>
      </c>
      <c r="J44" s="12">
        <v>12</v>
      </c>
      <c r="K44" s="12" t="s">
        <v>43</v>
      </c>
      <c r="L44" s="19" t="s">
        <v>22</v>
      </c>
      <c r="M44" s="19" t="s">
        <v>44</v>
      </c>
      <c r="N44" s="72">
        <f t="shared" si="6"/>
        <v>374.270000000003</v>
      </c>
      <c r="O44" s="15">
        <f t="shared" si="10"/>
        <v>309.270000000003</v>
      </c>
      <c r="P44" s="73">
        <f t="shared" si="9"/>
        <v>65.0000000000006</v>
      </c>
      <c r="Q44" s="15">
        <v>2018</v>
      </c>
      <c r="R44" s="19" t="s">
        <v>67</v>
      </c>
      <c r="S44" s="19" t="s">
        <v>176</v>
      </c>
      <c r="T44" s="44"/>
      <c r="U44" s="44"/>
      <c r="V44" s="44"/>
    </row>
    <row r="45" ht="45" customHeight="1" spans="1:22">
      <c r="A45" s="61"/>
      <c r="B45" s="12" t="s">
        <v>140</v>
      </c>
      <c r="C45" s="12" t="s">
        <v>140</v>
      </c>
      <c r="D45" s="15" t="s">
        <v>125</v>
      </c>
      <c r="E45" s="54"/>
      <c r="F45" s="4" t="s">
        <v>191</v>
      </c>
      <c r="G45" s="4" t="s">
        <v>192</v>
      </c>
      <c r="H45" s="16">
        <f t="shared" si="7"/>
        <v>0.62700000000001</v>
      </c>
      <c r="I45" s="12" t="s">
        <v>65</v>
      </c>
      <c r="J45" s="12">
        <v>12</v>
      </c>
      <c r="K45" s="12" t="s">
        <v>43</v>
      </c>
      <c r="L45" s="19" t="s">
        <v>22</v>
      </c>
      <c r="M45" s="19" t="s">
        <v>44</v>
      </c>
      <c r="N45" s="71">
        <f t="shared" si="6"/>
        <v>180.513300000003</v>
      </c>
      <c r="O45" s="15">
        <f t="shared" si="10"/>
        <v>149.163300000002</v>
      </c>
      <c r="P45" s="13">
        <f t="shared" si="9"/>
        <v>31.3500000000005</v>
      </c>
      <c r="Q45" s="15">
        <v>2018</v>
      </c>
      <c r="R45" s="19" t="s">
        <v>67</v>
      </c>
      <c r="S45" s="19" t="s">
        <v>176</v>
      </c>
      <c r="T45" s="44"/>
      <c r="U45" s="44"/>
      <c r="V45" s="44"/>
    </row>
    <row r="46" ht="45" customHeight="1" spans="1:22">
      <c r="A46" s="44">
        <v>13</v>
      </c>
      <c r="B46" s="12" t="s">
        <v>130</v>
      </c>
      <c r="C46" s="12" t="s">
        <v>130</v>
      </c>
      <c r="D46" s="15" t="s">
        <v>125</v>
      </c>
      <c r="E46" s="54"/>
      <c r="F46" s="4" t="s">
        <v>193</v>
      </c>
      <c r="G46" s="4">
        <v>1886.4</v>
      </c>
      <c r="H46" s="16">
        <f t="shared" si="7"/>
        <v>0.0750000000000455</v>
      </c>
      <c r="I46" s="12" t="s">
        <v>36</v>
      </c>
      <c r="J46" s="12">
        <v>9</v>
      </c>
      <c r="K46" s="12" t="s">
        <v>43</v>
      </c>
      <c r="L46" s="19" t="s">
        <v>22</v>
      </c>
      <c r="M46" s="19" t="s">
        <v>44</v>
      </c>
      <c r="N46" s="71">
        <f t="shared" si="6"/>
        <v>17.1225000000104</v>
      </c>
      <c r="O46" s="15">
        <f>(H46*1000*J46*(8+0.3*200+8+0.06*1150+0.04*1300)+H46*10000)/10000</f>
        <v>13.3725000000081</v>
      </c>
      <c r="P46" s="13">
        <f t="shared" si="9"/>
        <v>3.75000000000227</v>
      </c>
      <c r="Q46" s="15">
        <v>2018</v>
      </c>
      <c r="R46" s="77" t="s">
        <v>147</v>
      </c>
      <c r="S46" s="19" t="s">
        <v>176</v>
      </c>
      <c r="T46" s="44">
        <v>1886.444</v>
      </c>
      <c r="U46" s="44">
        <f>1886.534-0.015</f>
        <v>1886.519</v>
      </c>
      <c r="V46" s="44"/>
    </row>
    <row r="47" ht="46" customHeight="1" spans="1:22">
      <c r="A47" s="53">
        <v>14</v>
      </c>
      <c r="B47" s="19" t="s">
        <v>194</v>
      </c>
      <c r="C47" s="19" t="s">
        <v>140</v>
      </c>
      <c r="D47" s="54" t="s">
        <v>125</v>
      </c>
      <c r="E47" s="54"/>
      <c r="F47" s="55">
        <v>404.75</v>
      </c>
      <c r="G47" s="55">
        <v>406</v>
      </c>
      <c r="H47" s="4">
        <f t="shared" si="7"/>
        <v>1.25</v>
      </c>
      <c r="I47" s="19" t="s">
        <v>65</v>
      </c>
      <c r="J47" s="24">
        <v>9</v>
      </c>
      <c r="K47" s="19" t="s">
        <v>126</v>
      </c>
      <c r="L47" s="19" t="s">
        <v>22</v>
      </c>
      <c r="M47" s="18" t="s">
        <v>131</v>
      </c>
      <c r="N47" s="68">
        <f t="shared" si="6"/>
        <v>286</v>
      </c>
      <c r="O47" s="68">
        <v>223.5</v>
      </c>
      <c r="P47" s="69">
        <f t="shared" si="9"/>
        <v>62.5</v>
      </c>
      <c r="Q47" s="19">
        <v>2018</v>
      </c>
      <c r="R47" s="78" t="s">
        <v>147</v>
      </c>
      <c r="S47" s="19" t="s">
        <v>176</v>
      </c>
      <c r="T47" s="44">
        <v>404.75</v>
      </c>
      <c r="U47" s="44">
        <v>406</v>
      </c>
      <c r="V47" s="44"/>
    </row>
    <row r="48" ht="49" customHeight="1" spans="1:22">
      <c r="A48" s="57"/>
      <c r="B48" s="19" t="s">
        <v>194</v>
      </c>
      <c r="C48" s="19" t="s">
        <v>140</v>
      </c>
      <c r="D48" s="54" t="s">
        <v>125</v>
      </c>
      <c r="E48" s="54"/>
      <c r="F48" s="55">
        <v>406.907</v>
      </c>
      <c r="G48" s="55">
        <v>407.794</v>
      </c>
      <c r="H48" s="4">
        <f t="shared" si="7"/>
        <v>0.887</v>
      </c>
      <c r="I48" s="19" t="s">
        <v>65</v>
      </c>
      <c r="J48" s="24">
        <v>9</v>
      </c>
      <c r="K48" s="19" t="s">
        <v>126</v>
      </c>
      <c r="L48" s="19" t="s">
        <v>22</v>
      </c>
      <c r="M48" s="18" t="s">
        <v>131</v>
      </c>
      <c r="N48" s="68">
        <f t="shared" si="6"/>
        <v>202.9456</v>
      </c>
      <c r="O48" s="68">
        <v>158.5956</v>
      </c>
      <c r="P48" s="69">
        <f t="shared" si="9"/>
        <v>44.35</v>
      </c>
      <c r="Q48" s="19">
        <v>2018</v>
      </c>
      <c r="R48" s="78" t="s">
        <v>147</v>
      </c>
      <c r="S48" s="19" t="s">
        <v>176</v>
      </c>
      <c r="T48" s="44">
        <v>406.907</v>
      </c>
      <c r="U48" s="44">
        <v>407.794</v>
      </c>
      <c r="V48" s="44"/>
    </row>
    <row r="49" ht="46" customHeight="1" spans="1:22">
      <c r="A49" s="57"/>
      <c r="B49" s="19" t="s">
        <v>194</v>
      </c>
      <c r="C49" s="19" t="s">
        <v>140</v>
      </c>
      <c r="D49" s="54" t="s">
        <v>125</v>
      </c>
      <c r="E49" s="54"/>
      <c r="F49" s="55">
        <v>409.574</v>
      </c>
      <c r="G49" s="55">
        <v>411.98</v>
      </c>
      <c r="H49" s="4">
        <f t="shared" si="7"/>
        <v>2.40600000000001</v>
      </c>
      <c r="I49" s="19" t="s">
        <v>65</v>
      </c>
      <c r="J49" s="24">
        <v>9</v>
      </c>
      <c r="K49" s="19" t="s">
        <v>126</v>
      </c>
      <c r="L49" s="19" t="s">
        <v>22</v>
      </c>
      <c r="M49" s="18" t="s">
        <v>131</v>
      </c>
      <c r="N49" s="68">
        <f t="shared" si="6"/>
        <v>550.492800000001</v>
      </c>
      <c r="O49" s="68">
        <v>430.192800000001</v>
      </c>
      <c r="P49" s="69">
        <f t="shared" si="9"/>
        <v>120.3</v>
      </c>
      <c r="Q49" s="19">
        <v>2018</v>
      </c>
      <c r="R49" s="78" t="s">
        <v>147</v>
      </c>
      <c r="S49" s="19" t="s">
        <v>176</v>
      </c>
      <c r="T49" s="44">
        <v>409.574</v>
      </c>
      <c r="U49" s="44">
        <v>411.98</v>
      </c>
      <c r="V49" s="44">
        <f>270.6/3</f>
        <v>90.2</v>
      </c>
    </row>
    <row r="50" ht="45" customHeight="1" spans="1:22">
      <c r="A50" s="56"/>
      <c r="B50" s="19" t="s">
        <v>194</v>
      </c>
      <c r="C50" s="19" t="s">
        <v>140</v>
      </c>
      <c r="D50" s="54" t="s">
        <v>125</v>
      </c>
      <c r="E50" s="54"/>
      <c r="F50" s="55">
        <v>416.28</v>
      </c>
      <c r="G50" s="55">
        <v>418.98</v>
      </c>
      <c r="H50" s="4">
        <f t="shared" si="7"/>
        <v>2.70000000000005</v>
      </c>
      <c r="I50" s="19" t="s">
        <v>65</v>
      </c>
      <c r="J50" s="24">
        <v>9</v>
      </c>
      <c r="K50" s="19" t="s">
        <v>126</v>
      </c>
      <c r="L50" s="19" t="s">
        <v>22</v>
      </c>
      <c r="M50" s="18" t="s">
        <v>131</v>
      </c>
      <c r="N50" s="68">
        <f t="shared" si="6"/>
        <v>617.76000000001</v>
      </c>
      <c r="O50" s="68">
        <v>482.760000000008</v>
      </c>
      <c r="P50" s="69">
        <f t="shared" si="9"/>
        <v>135.000000000002</v>
      </c>
      <c r="Q50" s="19">
        <v>2018</v>
      </c>
      <c r="R50" s="78" t="s">
        <v>147</v>
      </c>
      <c r="S50" s="19" t="s">
        <v>176</v>
      </c>
      <c r="T50" s="44">
        <v>416.28</v>
      </c>
      <c r="U50" s="44">
        <v>418.98</v>
      </c>
      <c r="V50" s="44">
        <f>251.8/3</f>
        <v>83.9333333333333</v>
      </c>
    </row>
    <row r="51" ht="40" customHeight="1" spans="1:22">
      <c r="A51" s="44">
        <v>15</v>
      </c>
      <c r="B51" s="19" t="s">
        <v>52</v>
      </c>
      <c r="C51" s="19" t="s">
        <v>53</v>
      </c>
      <c r="D51" s="54" t="s">
        <v>54</v>
      </c>
      <c r="E51" s="54"/>
      <c r="F51" s="55">
        <v>1.931</v>
      </c>
      <c r="G51" s="55">
        <v>13.535</v>
      </c>
      <c r="H51" s="58">
        <f t="shared" si="7"/>
        <v>11.604</v>
      </c>
      <c r="I51" s="19" t="s">
        <v>36</v>
      </c>
      <c r="J51" s="24">
        <v>9</v>
      </c>
      <c r="K51" s="19" t="s">
        <v>110</v>
      </c>
      <c r="L51" s="19" t="s">
        <v>22</v>
      </c>
      <c r="M51" s="18" t="s">
        <v>72</v>
      </c>
      <c r="N51" s="71">
        <f>P51+O51</f>
        <v>1813.7052</v>
      </c>
      <c r="O51" s="13">
        <f>(H51*1000*J51*(0.2*200+8+0.06*1150)+H51*10000)/10000</f>
        <v>1233.5052</v>
      </c>
      <c r="P51" s="13">
        <f t="shared" si="9"/>
        <v>580.2</v>
      </c>
      <c r="Q51" s="19">
        <v>2018</v>
      </c>
      <c r="R51" s="78" t="s">
        <v>56</v>
      </c>
      <c r="S51" s="19" t="s">
        <v>176</v>
      </c>
      <c r="T51" s="44">
        <v>596.644</v>
      </c>
      <c r="U51" s="44">
        <v>586.4</v>
      </c>
      <c r="V51" s="44">
        <f>1102.6/15</f>
        <v>73.5066666666667</v>
      </c>
    </row>
    <row r="52" ht="39" customHeight="1" spans="1:22">
      <c r="A52" s="53">
        <v>16</v>
      </c>
      <c r="B52" s="19" t="s">
        <v>130</v>
      </c>
      <c r="C52" s="19" t="s">
        <v>130</v>
      </c>
      <c r="D52" s="54" t="s">
        <v>125</v>
      </c>
      <c r="E52" s="54"/>
      <c r="F52" s="55">
        <v>1802.2</v>
      </c>
      <c r="G52" s="55">
        <v>1803.2</v>
      </c>
      <c r="H52" s="4">
        <f t="shared" si="7"/>
        <v>1</v>
      </c>
      <c r="I52" s="19" t="s">
        <v>36</v>
      </c>
      <c r="J52" s="24">
        <v>12</v>
      </c>
      <c r="K52" s="19" t="s">
        <v>110</v>
      </c>
      <c r="L52" s="19" t="s">
        <v>22</v>
      </c>
      <c r="M52" s="18" t="s">
        <v>37</v>
      </c>
      <c r="N52" s="68">
        <f t="shared" ref="N52:N55" si="11">O52+P52</f>
        <v>277.8</v>
      </c>
      <c r="O52" s="68">
        <v>227.8</v>
      </c>
      <c r="P52" s="69">
        <f t="shared" si="9"/>
        <v>50</v>
      </c>
      <c r="Q52" s="19">
        <v>2018</v>
      </c>
      <c r="R52" s="78" t="s">
        <v>38</v>
      </c>
      <c r="S52" s="19" t="s">
        <v>176</v>
      </c>
      <c r="T52" s="44">
        <v>1802.2</v>
      </c>
      <c r="U52" s="44">
        <v>1803.2</v>
      </c>
      <c r="V52" s="44">
        <v>82.9</v>
      </c>
    </row>
    <row r="53" ht="37" customHeight="1" spans="1:22">
      <c r="A53" s="57"/>
      <c r="B53" s="19" t="s">
        <v>130</v>
      </c>
      <c r="C53" s="19" t="s">
        <v>130</v>
      </c>
      <c r="D53" s="54" t="s">
        <v>125</v>
      </c>
      <c r="E53" s="54"/>
      <c r="F53" s="55">
        <v>1804.6</v>
      </c>
      <c r="G53" s="55">
        <v>1805.8</v>
      </c>
      <c r="H53" s="4">
        <f t="shared" si="7"/>
        <v>1.20000000000005</v>
      </c>
      <c r="I53" s="19" t="s">
        <v>36</v>
      </c>
      <c r="J53" s="24">
        <v>12</v>
      </c>
      <c r="K53" s="19" t="s">
        <v>110</v>
      </c>
      <c r="L53" s="19" t="s">
        <v>22</v>
      </c>
      <c r="M53" s="18" t="s">
        <v>37</v>
      </c>
      <c r="N53" s="68">
        <f t="shared" si="11"/>
        <v>333.360000000013</v>
      </c>
      <c r="O53" s="68">
        <v>273.36000000001</v>
      </c>
      <c r="P53" s="69">
        <f t="shared" si="9"/>
        <v>60.0000000000023</v>
      </c>
      <c r="Q53" s="19">
        <v>2018</v>
      </c>
      <c r="R53" s="78" t="s">
        <v>38</v>
      </c>
      <c r="S53" s="19" t="s">
        <v>176</v>
      </c>
      <c r="T53" s="44">
        <v>1804.6</v>
      </c>
      <c r="U53" s="44">
        <v>1805.8</v>
      </c>
      <c r="V53" s="44">
        <v>84.5</v>
      </c>
    </row>
    <row r="54" ht="37" customHeight="1" spans="1:22">
      <c r="A54" s="57"/>
      <c r="B54" s="19" t="s">
        <v>130</v>
      </c>
      <c r="C54" s="19" t="s">
        <v>130</v>
      </c>
      <c r="D54" s="54" t="s">
        <v>125</v>
      </c>
      <c r="E54" s="54"/>
      <c r="F54" s="55">
        <v>1807.04</v>
      </c>
      <c r="G54" s="55">
        <v>1809.3</v>
      </c>
      <c r="H54" s="4">
        <f t="shared" si="7"/>
        <v>2.25999999999999</v>
      </c>
      <c r="I54" s="19" t="s">
        <v>36</v>
      </c>
      <c r="J54" s="24">
        <v>12</v>
      </c>
      <c r="K54" s="19" t="s">
        <v>110</v>
      </c>
      <c r="L54" s="19" t="s">
        <v>22</v>
      </c>
      <c r="M54" s="18" t="s">
        <v>37</v>
      </c>
      <c r="N54" s="68">
        <f t="shared" si="11"/>
        <v>627.827999999997</v>
      </c>
      <c r="O54" s="68">
        <v>514.827999999998</v>
      </c>
      <c r="P54" s="69">
        <f t="shared" si="9"/>
        <v>113</v>
      </c>
      <c r="Q54" s="19">
        <v>2018</v>
      </c>
      <c r="R54" s="78" t="s">
        <v>38</v>
      </c>
      <c r="S54" s="19" t="s">
        <v>176</v>
      </c>
      <c r="T54" s="44">
        <v>1807.04</v>
      </c>
      <c r="U54" s="44">
        <v>1809.3</v>
      </c>
      <c r="V54" s="44">
        <f>178.5/2</f>
        <v>89.25</v>
      </c>
    </row>
    <row r="55" ht="36" customHeight="1" spans="1:22">
      <c r="A55" s="56"/>
      <c r="B55" s="19" t="s">
        <v>130</v>
      </c>
      <c r="C55" s="19" t="s">
        <v>130</v>
      </c>
      <c r="D55" s="54" t="s">
        <v>125</v>
      </c>
      <c r="E55" s="54"/>
      <c r="F55" s="55">
        <v>1809.3</v>
      </c>
      <c r="G55" s="55">
        <v>1810.2</v>
      </c>
      <c r="H55" s="4">
        <f t="shared" si="7"/>
        <v>0.900000000000091</v>
      </c>
      <c r="I55" s="19" t="s">
        <v>36</v>
      </c>
      <c r="J55" s="24">
        <v>12</v>
      </c>
      <c r="K55" s="19" t="s">
        <v>110</v>
      </c>
      <c r="L55" s="19" t="s">
        <v>22</v>
      </c>
      <c r="M55" s="18" t="s">
        <v>37</v>
      </c>
      <c r="N55" s="68">
        <f t="shared" si="11"/>
        <v>250.020000000025</v>
      </c>
      <c r="O55" s="68">
        <v>205.020000000021</v>
      </c>
      <c r="P55" s="69">
        <f t="shared" si="9"/>
        <v>45.0000000000045</v>
      </c>
      <c r="Q55" s="19">
        <v>2018</v>
      </c>
      <c r="R55" s="78" t="s">
        <v>38</v>
      </c>
      <c r="S55" s="19" t="s">
        <v>176</v>
      </c>
      <c r="T55" s="44">
        <v>1809.3</v>
      </c>
      <c r="U55" s="44">
        <v>1810.2</v>
      </c>
      <c r="V55" s="44">
        <v>86.3</v>
      </c>
    </row>
    <row r="56" ht="36" customHeight="1" spans="1:22">
      <c r="A56" s="44">
        <v>17</v>
      </c>
      <c r="B56" s="12" t="s">
        <v>49</v>
      </c>
      <c r="C56" s="15" t="s">
        <v>153</v>
      </c>
      <c r="D56" s="15" t="s">
        <v>54</v>
      </c>
      <c r="E56" s="54"/>
      <c r="F56" s="16">
        <v>1.332</v>
      </c>
      <c r="G56" s="16">
        <v>13.759</v>
      </c>
      <c r="H56" s="17">
        <f t="shared" si="7"/>
        <v>12.427</v>
      </c>
      <c r="I56" s="12" t="s">
        <v>28</v>
      </c>
      <c r="J56" s="28">
        <v>7</v>
      </c>
      <c r="K56" s="28" t="s">
        <v>86</v>
      </c>
      <c r="L56" s="28" t="s">
        <v>22</v>
      </c>
      <c r="M56" s="18" t="s">
        <v>158</v>
      </c>
      <c r="N56" s="71">
        <f>P56+O56</f>
        <v>1651.5483</v>
      </c>
      <c r="O56" s="13">
        <f>(H56*1000*J56*(0.2*200+8+0.06*1150)+H56*10000)/10000</f>
        <v>1030.1983</v>
      </c>
      <c r="P56" s="13">
        <f t="shared" si="9"/>
        <v>621.35</v>
      </c>
      <c r="Q56" s="15">
        <v>2018</v>
      </c>
      <c r="R56" s="77" t="s">
        <v>48</v>
      </c>
      <c r="S56" s="19" t="s">
        <v>176</v>
      </c>
      <c r="T56" s="44">
        <v>128.92</v>
      </c>
      <c r="U56" s="44">
        <v>122.788</v>
      </c>
      <c r="V56" s="44">
        <v>83.8</v>
      </c>
    </row>
    <row r="57" ht="43" customHeight="1" spans="1:22">
      <c r="A57" s="44">
        <v>18</v>
      </c>
      <c r="B57" s="19" t="s">
        <v>132</v>
      </c>
      <c r="C57" s="19" t="s">
        <v>132</v>
      </c>
      <c r="D57" s="54" t="s">
        <v>125</v>
      </c>
      <c r="E57" s="54"/>
      <c r="F57" s="12">
        <v>2177.951</v>
      </c>
      <c r="G57" s="12">
        <v>2179.154</v>
      </c>
      <c r="H57" s="4">
        <f t="shared" si="7"/>
        <v>1.20299999999997</v>
      </c>
      <c r="I57" s="19" t="s">
        <v>36</v>
      </c>
      <c r="J57" s="24">
        <v>9</v>
      </c>
      <c r="K57" s="19" t="s">
        <v>126</v>
      </c>
      <c r="L57" s="19" t="s">
        <v>22</v>
      </c>
      <c r="M57" s="18" t="s">
        <v>44</v>
      </c>
      <c r="N57" s="68">
        <f t="shared" ref="N57:N63" si="12">O57+P57</f>
        <v>274.644899999994</v>
      </c>
      <c r="O57" s="68">
        <v>214.494899999995</v>
      </c>
      <c r="P57" s="69">
        <f t="shared" si="9"/>
        <v>60.1499999999987</v>
      </c>
      <c r="Q57" s="19">
        <v>2018</v>
      </c>
      <c r="R57" s="78" t="s">
        <v>48</v>
      </c>
      <c r="S57" s="19" t="s">
        <v>176</v>
      </c>
      <c r="T57" s="44">
        <v>2192.173</v>
      </c>
      <c r="U57" s="44">
        <v>2193.376</v>
      </c>
      <c r="V57" s="44">
        <v>90.6</v>
      </c>
    </row>
    <row r="58" ht="51" customHeight="1" spans="1:22">
      <c r="A58" s="44">
        <v>19</v>
      </c>
      <c r="B58" s="19" t="s">
        <v>40</v>
      </c>
      <c r="C58" s="19" t="s">
        <v>41</v>
      </c>
      <c r="D58" s="54" t="s">
        <v>26</v>
      </c>
      <c r="E58" s="54"/>
      <c r="F58" s="55">
        <v>118.96</v>
      </c>
      <c r="G58" s="55">
        <v>140</v>
      </c>
      <c r="H58" s="4">
        <f t="shared" si="7"/>
        <v>21.04</v>
      </c>
      <c r="I58" s="19" t="s">
        <v>36</v>
      </c>
      <c r="J58" s="24">
        <v>9</v>
      </c>
      <c r="K58" s="19" t="s">
        <v>110</v>
      </c>
      <c r="L58" s="19" t="s">
        <v>22</v>
      </c>
      <c r="M58" s="18" t="s">
        <v>195</v>
      </c>
      <c r="N58" s="68">
        <f t="shared" si="12"/>
        <v>4931.624</v>
      </c>
      <c r="O58" s="68">
        <v>3879.624</v>
      </c>
      <c r="P58" s="69">
        <f t="shared" si="9"/>
        <v>1052</v>
      </c>
      <c r="Q58" s="19">
        <v>2018</v>
      </c>
      <c r="R58" s="78" t="s">
        <v>48</v>
      </c>
      <c r="S58" s="19" t="s">
        <v>176</v>
      </c>
      <c r="T58" s="44">
        <v>118.96</v>
      </c>
      <c r="U58" s="44">
        <v>140</v>
      </c>
      <c r="V58" s="44">
        <f>1719.3/21</f>
        <v>81.8714285714286</v>
      </c>
    </row>
    <row r="59" ht="36" customHeight="1" spans="1:22">
      <c r="A59" s="53">
        <v>20</v>
      </c>
      <c r="B59" s="19" t="s">
        <v>49</v>
      </c>
      <c r="C59" s="19" t="s">
        <v>41</v>
      </c>
      <c r="D59" s="54" t="s">
        <v>26</v>
      </c>
      <c r="E59" s="54"/>
      <c r="F59" s="55">
        <v>166.529</v>
      </c>
      <c r="G59" s="55">
        <v>175</v>
      </c>
      <c r="H59" s="4">
        <f t="shared" si="7"/>
        <v>8.471</v>
      </c>
      <c r="I59" s="19" t="s">
        <v>36</v>
      </c>
      <c r="J59" s="24">
        <v>12</v>
      </c>
      <c r="K59" s="19" t="s">
        <v>126</v>
      </c>
      <c r="L59" s="19" t="s">
        <v>22</v>
      </c>
      <c r="M59" s="18" t="s">
        <v>196</v>
      </c>
      <c r="N59" s="68">
        <f t="shared" si="12"/>
        <v>1905.975</v>
      </c>
      <c r="O59" s="68">
        <v>1482.425</v>
      </c>
      <c r="P59" s="69">
        <f t="shared" si="9"/>
        <v>423.55</v>
      </c>
      <c r="Q59" s="19">
        <v>2018</v>
      </c>
      <c r="R59" s="78" t="s">
        <v>48</v>
      </c>
      <c r="S59" s="19" t="s">
        <v>176</v>
      </c>
      <c r="T59" s="44">
        <v>160.287</v>
      </c>
      <c r="U59" s="52">
        <f>T59+H59</f>
        <v>168.758</v>
      </c>
      <c r="V59" s="44">
        <f>860.5/9</f>
        <v>95.6111111111111</v>
      </c>
    </row>
    <row r="60" ht="33" customHeight="1" spans="1:22">
      <c r="A60" s="56"/>
      <c r="B60" s="19" t="s">
        <v>49</v>
      </c>
      <c r="C60" s="19" t="s">
        <v>41</v>
      </c>
      <c r="D60" s="54" t="s">
        <v>26</v>
      </c>
      <c r="E60" s="54"/>
      <c r="F60" s="55">
        <v>181</v>
      </c>
      <c r="G60" s="55">
        <v>187.222</v>
      </c>
      <c r="H60" s="4">
        <f t="shared" si="7"/>
        <v>6.22200000000001</v>
      </c>
      <c r="I60" s="19" t="s">
        <v>36</v>
      </c>
      <c r="J60" s="24">
        <v>12</v>
      </c>
      <c r="K60" s="19" t="s">
        <v>126</v>
      </c>
      <c r="L60" s="19" t="s">
        <v>22</v>
      </c>
      <c r="M60" s="18" t="s">
        <v>197</v>
      </c>
      <c r="N60" s="68">
        <f t="shared" si="12"/>
        <v>1399.95</v>
      </c>
      <c r="O60" s="68">
        <v>1088.85</v>
      </c>
      <c r="P60" s="69">
        <f t="shared" si="9"/>
        <v>311.1</v>
      </c>
      <c r="Q60" s="19">
        <v>2018</v>
      </c>
      <c r="R60" s="78" t="s">
        <v>48</v>
      </c>
      <c r="S60" s="19" t="s">
        <v>176</v>
      </c>
      <c r="T60" s="44">
        <f>179.841-5.083</f>
        <v>174.758</v>
      </c>
      <c r="U60" s="44">
        <v>180.98</v>
      </c>
      <c r="V60" s="44">
        <f>667/7</f>
        <v>95.2857142857143</v>
      </c>
    </row>
    <row r="61" ht="42" customHeight="1" spans="1:22">
      <c r="A61" s="44">
        <v>21</v>
      </c>
      <c r="B61" s="12" t="s">
        <v>140</v>
      </c>
      <c r="C61" s="12" t="s">
        <v>140</v>
      </c>
      <c r="D61" s="15" t="s">
        <v>125</v>
      </c>
      <c r="E61" s="54"/>
      <c r="F61" s="4" t="s">
        <v>198</v>
      </c>
      <c r="G61" s="4">
        <v>560</v>
      </c>
      <c r="H61" s="16">
        <f t="shared" si="7"/>
        <v>2.60000000000002</v>
      </c>
      <c r="I61" s="12" t="s">
        <v>36</v>
      </c>
      <c r="J61" s="12">
        <v>9</v>
      </c>
      <c r="K61" s="12" t="s">
        <v>43</v>
      </c>
      <c r="L61" s="19" t="s">
        <v>22</v>
      </c>
      <c r="M61" s="18" t="s">
        <v>44</v>
      </c>
      <c r="N61" s="71">
        <f t="shared" si="12"/>
        <v>593.580000000005</v>
      </c>
      <c r="O61" s="15">
        <f>(H61*1000*J61*(8+0.3*200+8+0.06*1150+0.04*1300)+H61*10000)/10000</f>
        <v>463.580000000004</v>
      </c>
      <c r="P61" s="13">
        <f t="shared" si="9"/>
        <v>130.000000000001</v>
      </c>
      <c r="Q61" s="15">
        <v>2018</v>
      </c>
      <c r="R61" s="77" t="s">
        <v>73</v>
      </c>
      <c r="S61" s="19" t="s">
        <v>176</v>
      </c>
      <c r="T61" s="44">
        <v>540.7</v>
      </c>
      <c r="U61" s="52">
        <f>T61+H61</f>
        <v>543.3</v>
      </c>
      <c r="V61" s="44">
        <f>(79.5+93.5)/2</f>
        <v>86.5</v>
      </c>
    </row>
    <row r="62" ht="37" customHeight="1" spans="1:22">
      <c r="A62" s="44">
        <v>22</v>
      </c>
      <c r="B62" s="19" t="s">
        <v>156</v>
      </c>
      <c r="C62" s="19" t="s">
        <v>34</v>
      </c>
      <c r="D62" s="19" t="s">
        <v>26</v>
      </c>
      <c r="E62" s="54"/>
      <c r="F62" s="4">
        <v>129.83</v>
      </c>
      <c r="G62" s="4">
        <v>136</v>
      </c>
      <c r="H62" s="4">
        <f t="shared" si="7"/>
        <v>6.16999999999999</v>
      </c>
      <c r="I62" s="19" t="s">
        <v>36</v>
      </c>
      <c r="J62" s="24">
        <v>9</v>
      </c>
      <c r="K62" s="19" t="s">
        <v>86</v>
      </c>
      <c r="L62" s="19" t="s">
        <v>22</v>
      </c>
      <c r="M62" s="18" t="s">
        <v>199</v>
      </c>
      <c r="N62" s="13">
        <f t="shared" si="12"/>
        <v>964.370999999998</v>
      </c>
      <c r="O62" s="13">
        <f t="shared" ref="O62:O71" si="13">(H62*1000*J62*(0.2*200+8+0.06*1150)+H62*10000)/10000</f>
        <v>655.870999999999</v>
      </c>
      <c r="P62" s="13">
        <f t="shared" si="9"/>
        <v>308.499999999999</v>
      </c>
      <c r="Q62" s="15">
        <v>2018</v>
      </c>
      <c r="R62" s="77" t="s">
        <v>73</v>
      </c>
      <c r="S62" s="15" t="s">
        <v>142</v>
      </c>
      <c r="T62" s="44">
        <f>0.97+43.826</f>
        <v>44.796</v>
      </c>
      <c r="U62" s="44">
        <f>0.615+50.831</f>
        <v>51.446</v>
      </c>
      <c r="V62" s="44">
        <f>(78.3+90+84.9+81.8+83.3+88.7+91.1)/7</f>
        <v>85.4428571428572</v>
      </c>
    </row>
    <row r="63" ht="43" customHeight="1" spans="1:22">
      <c r="A63" s="53">
        <v>23</v>
      </c>
      <c r="B63" s="12" t="s">
        <v>194</v>
      </c>
      <c r="C63" s="12" t="s">
        <v>130</v>
      </c>
      <c r="D63" s="15" t="s">
        <v>125</v>
      </c>
      <c r="E63" s="54"/>
      <c r="F63" s="4">
        <v>2019</v>
      </c>
      <c r="G63" s="4" t="s">
        <v>200</v>
      </c>
      <c r="H63" s="16">
        <f t="shared" si="7"/>
        <v>1.29999999999995</v>
      </c>
      <c r="I63" s="12" t="s">
        <v>36</v>
      </c>
      <c r="J63" s="12">
        <v>9</v>
      </c>
      <c r="K63" s="12" t="s">
        <v>43</v>
      </c>
      <c r="L63" s="19" t="s">
        <v>22</v>
      </c>
      <c r="M63" s="18" t="s">
        <v>44</v>
      </c>
      <c r="N63" s="71">
        <f t="shared" si="12"/>
        <v>296.78999999999</v>
      </c>
      <c r="O63" s="15">
        <f>(H63*1000*J63*(8+0.3*200+8+0.06*1150+0.04*1300)+H63*10000)/10000</f>
        <v>231.789999999992</v>
      </c>
      <c r="P63" s="13">
        <f t="shared" si="9"/>
        <v>64.9999999999977</v>
      </c>
      <c r="Q63" s="15">
        <v>2018</v>
      </c>
      <c r="R63" s="78" t="s">
        <v>112</v>
      </c>
      <c r="S63" s="19" t="s">
        <v>176</v>
      </c>
      <c r="T63" s="52">
        <f>U63-H63</f>
        <v>676.877</v>
      </c>
      <c r="U63" s="44">
        <v>678.177</v>
      </c>
      <c r="V63" s="44">
        <v>94.5</v>
      </c>
    </row>
    <row r="64" ht="33" customHeight="1" spans="1:22">
      <c r="A64" s="56"/>
      <c r="B64" s="12" t="s">
        <v>194</v>
      </c>
      <c r="C64" s="15" t="s">
        <v>201</v>
      </c>
      <c r="D64" s="15" t="s">
        <v>54</v>
      </c>
      <c r="E64" s="54"/>
      <c r="F64" s="16">
        <v>0</v>
      </c>
      <c r="G64" s="16">
        <v>7.508</v>
      </c>
      <c r="H64" s="17">
        <f t="shared" si="7"/>
        <v>7.508</v>
      </c>
      <c r="I64" s="12" t="s">
        <v>36</v>
      </c>
      <c r="J64" s="28">
        <v>9</v>
      </c>
      <c r="K64" s="28" t="s">
        <v>86</v>
      </c>
      <c r="L64" s="28" t="s">
        <v>22</v>
      </c>
      <c r="M64" s="18" t="s">
        <v>158</v>
      </c>
      <c r="N64" s="71">
        <f t="shared" ref="N64:N71" si="14">P64+O64</f>
        <v>1173.5004</v>
      </c>
      <c r="O64" s="13">
        <f t="shared" si="13"/>
        <v>798.1004</v>
      </c>
      <c r="P64" s="13">
        <f t="shared" si="9"/>
        <v>375.4</v>
      </c>
      <c r="Q64" s="15">
        <v>2018</v>
      </c>
      <c r="R64" s="78" t="s">
        <v>112</v>
      </c>
      <c r="S64" s="19" t="s">
        <v>176</v>
      </c>
      <c r="T64" s="44">
        <v>713.118</v>
      </c>
      <c r="U64" s="44">
        <v>721.26</v>
      </c>
      <c r="V64" s="44">
        <f>968.5/12</f>
        <v>80.7083333333333</v>
      </c>
    </row>
    <row r="65" ht="37" customHeight="1" spans="1:22">
      <c r="A65" s="53">
        <v>24</v>
      </c>
      <c r="B65" s="12" t="s">
        <v>202</v>
      </c>
      <c r="C65" s="15" t="s">
        <v>203</v>
      </c>
      <c r="D65" s="15" t="s">
        <v>54</v>
      </c>
      <c r="E65" s="54"/>
      <c r="F65" s="16">
        <v>62</v>
      </c>
      <c r="G65" s="16">
        <v>63</v>
      </c>
      <c r="H65" s="17">
        <f t="shared" si="7"/>
        <v>1</v>
      </c>
      <c r="I65" s="12" t="s">
        <v>36</v>
      </c>
      <c r="J65" s="28">
        <v>9</v>
      </c>
      <c r="K65" s="28" t="s">
        <v>91</v>
      </c>
      <c r="L65" s="28" t="s">
        <v>22</v>
      </c>
      <c r="M65" s="18" t="s">
        <v>152</v>
      </c>
      <c r="N65" s="71">
        <f t="shared" si="14"/>
        <v>163.5</v>
      </c>
      <c r="O65" s="13">
        <f>(H65*1000*J65*(8+0.2*200+8+0.06*1150)+H65*10000)/10000</f>
        <v>113.5</v>
      </c>
      <c r="P65" s="13">
        <f t="shared" si="9"/>
        <v>50</v>
      </c>
      <c r="Q65" s="15">
        <v>2018</v>
      </c>
      <c r="R65" s="78" t="s">
        <v>112</v>
      </c>
      <c r="S65" s="19" t="s">
        <v>176</v>
      </c>
      <c r="T65" s="44">
        <v>11.44</v>
      </c>
      <c r="U65" s="44">
        <f>13.905-1.465</f>
        <v>12.44</v>
      </c>
      <c r="V65" s="44">
        <v>88.77</v>
      </c>
    </row>
    <row r="66" ht="39" customHeight="1" spans="1:22">
      <c r="A66" s="56"/>
      <c r="B66" s="12" t="s">
        <v>202</v>
      </c>
      <c r="C66" s="15" t="s">
        <v>204</v>
      </c>
      <c r="D66" s="15" t="s">
        <v>54</v>
      </c>
      <c r="E66" s="54"/>
      <c r="F66" s="16">
        <v>10.696</v>
      </c>
      <c r="G66" s="16">
        <v>12.137</v>
      </c>
      <c r="H66" s="17">
        <f t="shared" si="7"/>
        <v>1.441</v>
      </c>
      <c r="I66" s="12" t="s">
        <v>205</v>
      </c>
      <c r="J66" s="28">
        <v>5</v>
      </c>
      <c r="K66" s="28" t="s">
        <v>91</v>
      </c>
      <c r="L66" s="28" t="s">
        <v>22</v>
      </c>
      <c r="M66" s="18" t="s">
        <v>152</v>
      </c>
      <c r="N66" s="71">
        <f t="shared" si="14"/>
        <v>163.5535</v>
      </c>
      <c r="O66" s="13">
        <f>(H66*1000*J66*(8+0.2*200+8+0.06*1150)+H66*10000)/10000</f>
        <v>91.5035</v>
      </c>
      <c r="P66" s="13">
        <f t="shared" si="9"/>
        <v>72.05</v>
      </c>
      <c r="Q66" s="15">
        <v>2018</v>
      </c>
      <c r="R66" s="78" t="s">
        <v>112</v>
      </c>
      <c r="S66" s="19" t="s">
        <v>176</v>
      </c>
      <c r="T66" s="44">
        <v>25.708</v>
      </c>
      <c r="U66" s="44">
        <v>27.149</v>
      </c>
      <c r="V66" s="44"/>
    </row>
    <row r="67" ht="31.5" customHeight="1" spans="1:22">
      <c r="A67" s="44">
        <v>25</v>
      </c>
      <c r="B67" s="12" t="s">
        <v>194</v>
      </c>
      <c r="C67" s="15" t="s">
        <v>206</v>
      </c>
      <c r="D67" s="15" t="s">
        <v>54</v>
      </c>
      <c r="E67" s="54"/>
      <c r="F67" s="16">
        <v>4</v>
      </c>
      <c r="G67" s="16">
        <v>5</v>
      </c>
      <c r="H67" s="17">
        <f t="shared" ref="H67:H96" si="15">G67-F67</f>
        <v>1</v>
      </c>
      <c r="I67" s="12" t="s">
        <v>28</v>
      </c>
      <c r="J67" s="28">
        <v>6.5</v>
      </c>
      <c r="K67" s="28" t="s">
        <v>86</v>
      </c>
      <c r="L67" s="28" t="s">
        <v>22</v>
      </c>
      <c r="M67" s="18" t="s">
        <v>158</v>
      </c>
      <c r="N67" s="71">
        <f t="shared" si="14"/>
        <v>127.05</v>
      </c>
      <c r="O67" s="13">
        <f t="shared" si="13"/>
        <v>77.05</v>
      </c>
      <c r="P67" s="13">
        <f t="shared" ref="P67:P96" si="16">50*H67</f>
        <v>50</v>
      </c>
      <c r="Q67" s="19">
        <v>2018</v>
      </c>
      <c r="R67" s="77" t="s">
        <v>112</v>
      </c>
      <c r="S67" s="19" t="s">
        <v>176</v>
      </c>
      <c r="T67" s="44">
        <v>684.522</v>
      </c>
      <c r="U67" s="44">
        <f>685.642-0.12</f>
        <v>685.522</v>
      </c>
      <c r="V67" s="44">
        <f>141.7/2</f>
        <v>70.85</v>
      </c>
    </row>
    <row r="68" ht="31.5" customHeight="1" spans="1:22">
      <c r="A68" s="44"/>
      <c r="B68" s="12" t="s">
        <v>194</v>
      </c>
      <c r="C68" s="15" t="s">
        <v>206</v>
      </c>
      <c r="D68" s="15" t="s">
        <v>54</v>
      </c>
      <c r="E68" s="54"/>
      <c r="F68" s="16">
        <v>8.382</v>
      </c>
      <c r="G68" s="16">
        <v>10</v>
      </c>
      <c r="H68" s="17">
        <f t="shared" si="15"/>
        <v>1.618</v>
      </c>
      <c r="I68" s="12" t="s">
        <v>28</v>
      </c>
      <c r="J68" s="28">
        <v>6.5</v>
      </c>
      <c r="K68" s="28" t="s">
        <v>86</v>
      </c>
      <c r="L68" s="28" t="s">
        <v>22</v>
      </c>
      <c r="M68" s="18" t="s">
        <v>158</v>
      </c>
      <c r="N68" s="71">
        <f t="shared" si="14"/>
        <v>205.5669</v>
      </c>
      <c r="O68" s="13">
        <f t="shared" si="13"/>
        <v>124.6669</v>
      </c>
      <c r="P68" s="13">
        <f t="shared" si="16"/>
        <v>80.9</v>
      </c>
      <c r="Q68" s="19">
        <v>2018</v>
      </c>
      <c r="R68" s="77" t="s">
        <v>112</v>
      </c>
      <c r="S68" s="19" t="s">
        <v>176</v>
      </c>
      <c r="T68" s="44">
        <v>688.904</v>
      </c>
      <c r="U68" s="52">
        <f>T68+H68</f>
        <v>690.522</v>
      </c>
      <c r="V68" s="44">
        <f>142.9/2</f>
        <v>71.45</v>
      </c>
    </row>
    <row r="69" ht="31.5" customHeight="1" spans="1:22">
      <c r="A69" s="44"/>
      <c r="B69" s="12" t="s">
        <v>194</v>
      </c>
      <c r="C69" s="15" t="s">
        <v>206</v>
      </c>
      <c r="D69" s="15" t="s">
        <v>54</v>
      </c>
      <c r="E69" s="54"/>
      <c r="F69" s="16">
        <v>13.031</v>
      </c>
      <c r="G69" s="16">
        <v>14.182</v>
      </c>
      <c r="H69" s="17">
        <f t="shared" si="15"/>
        <v>1.151</v>
      </c>
      <c r="I69" s="12" t="s">
        <v>28</v>
      </c>
      <c r="J69" s="28">
        <v>6.5</v>
      </c>
      <c r="K69" s="28" t="s">
        <v>86</v>
      </c>
      <c r="L69" s="28" t="s">
        <v>22</v>
      </c>
      <c r="M69" s="18" t="s">
        <v>158</v>
      </c>
      <c r="N69" s="71">
        <f t="shared" si="14"/>
        <v>146.23455</v>
      </c>
      <c r="O69" s="13">
        <f t="shared" si="13"/>
        <v>88.68455</v>
      </c>
      <c r="P69" s="13">
        <f t="shared" si="16"/>
        <v>57.55</v>
      </c>
      <c r="Q69" s="19">
        <v>2018</v>
      </c>
      <c r="R69" s="77" t="s">
        <v>112</v>
      </c>
      <c r="S69" s="19" t="s">
        <v>176</v>
      </c>
      <c r="T69" s="44">
        <v>693.553</v>
      </c>
      <c r="U69" s="44">
        <v>694.704</v>
      </c>
      <c r="V69" s="44">
        <f>134.7/2</f>
        <v>67.35</v>
      </c>
    </row>
    <row r="70" ht="31.5" customHeight="1" spans="1:22">
      <c r="A70" s="44"/>
      <c r="B70" s="12" t="s">
        <v>194</v>
      </c>
      <c r="C70" s="15" t="s">
        <v>206</v>
      </c>
      <c r="D70" s="15" t="s">
        <v>54</v>
      </c>
      <c r="E70" s="54"/>
      <c r="F70" s="16">
        <v>26</v>
      </c>
      <c r="G70" s="16">
        <v>26.534</v>
      </c>
      <c r="H70" s="17">
        <f t="shared" si="15"/>
        <v>0.533999999999999</v>
      </c>
      <c r="I70" s="12" t="s">
        <v>28</v>
      </c>
      <c r="J70" s="28">
        <v>6.5</v>
      </c>
      <c r="K70" s="28" t="s">
        <v>86</v>
      </c>
      <c r="L70" s="28" t="s">
        <v>22</v>
      </c>
      <c r="M70" s="18" t="s">
        <v>158</v>
      </c>
      <c r="N70" s="71">
        <f t="shared" si="14"/>
        <v>67.8446999999999</v>
      </c>
      <c r="O70" s="13">
        <f t="shared" si="13"/>
        <v>41.1446999999999</v>
      </c>
      <c r="P70" s="13">
        <f t="shared" si="16"/>
        <v>26.6999999999999</v>
      </c>
      <c r="Q70" s="19">
        <v>2018</v>
      </c>
      <c r="R70" s="77" t="s">
        <v>112</v>
      </c>
      <c r="S70" s="19" t="s">
        <v>176</v>
      </c>
      <c r="T70" s="52">
        <f>U70-H70</f>
        <v>706.522</v>
      </c>
      <c r="U70" s="44">
        <v>707.056</v>
      </c>
      <c r="V70" s="44">
        <v>73.4</v>
      </c>
    </row>
    <row r="71" ht="31.5" customHeight="1" spans="1:22">
      <c r="A71" s="44">
        <v>26</v>
      </c>
      <c r="B71" s="12" t="s">
        <v>49</v>
      </c>
      <c r="C71" s="15" t="s">
        <v>207</v>
      </c>
      <c r="D71" s="15" t="s">
        <v>54</v>
      </c>
      <c r="E71" s="54"/>
      <c r="F71" s="16">
        <v>21.353</v>
      </c>
      <c r="G71" s="16">
        <v>22</v>
      </c>
      <c r="H71" s="17">
        <f t="shared" si="15"/>
        <v>0.646999999999998</v>
      </c>
      <c r="I71" s="12" t="s">
        <v>28</v>
      </c>
      <c r="J71" s="28">
        <v>6</v>
      </c>
      <c r="K71" s="28" t="s">
        <v>86</v>
      </c>
      <c r="L71" s="28" t="s">
        <v>22</v>
      </c>
      <c r="M71" s="18" t="s">
        <v>158</v>
      </c>
      <c r="N71" s="71">
        <f t="shared" si="14"/>
        <v>78.4163999999998</v>
      </c>
      <c r="O71" s="13">
        <f t="shared" si="13"/>
        <v>46.0663999999999</v>
      </c>
      <c r="P71" s="13">
        <f t="shared" si="16"/>
        <v>32.3499999999999</v>
      </c>
      <c r="Q71" s="19">
        <v>2018</v>
      </c>
      <c r="R71" s="77" t="s">
        <v>112</v>
      </c>
      <c r="S71" s="19" t="s">
        <v>176</v>
      </c>
      <c r="T71" s="79">
        <v>21.353</v>
      </c>
      <c r="U71" s="79">
        <v>22</v>
      </c>
      <c r="V71" s="44">
        <v>78.9</v>
      </c>
    </row>
    <row r="72" ht="43" customHeight="1" spans="1:22">
      <c r="A72" s="53">
        <v>27</v>
      </c>
      <c r="B72" s="19" t="s">
        <v>130</v>
      </c>
      <c r="C72" s="19" t="s">
        <v>130</v>
      </c>
      <c r="D72" s="54" t="s">
        <v>125</v>
      </c>
      <c r="E72" s="54"/>
      <c r="F72" s="55">
        <v>1985.351</v>
      </c>
      <c r="G72" s="55">
        <v>1997</v>
      </c>
      <c r="H72" s="4">
        <f t="shared" si="15"/>
        <v>11.6489999999999</v>
      </c>
      <c r="I72" s="19" t="s">
        <v>36</v>
      </c>
      <c r="J72" s="24">
        <v>9</v>
      </c>
      <c r="K72" s="19" t="s">
        <v>126</v>
      </c>
      <c r="L72" s="19" t="s">
        <v>22</v>
      </c>
      <c r="M72" s="18" t="s">
        <v>208</v>
      </c>
      <c r="N72" s="68">
        <f t="shared" ref="N72:N96" si="17">O72+P72</f>
        <v>2659.46669999997</v>
      </c>
      <c r="O72" s="68">
        <v>2077.01669999998</v>
      </c>
      <c r="P72" s="69">
        <f t="shared" si="16"/>
        <v>582.449999999994</v>
      </c>
      <c r="Q72" s="19">
        <v>2018</v>
      </c>
      <c r="R72" s="78" t="s">
        <v>112</v>
      </c>
      <c r="S72" s="19" t="s">
        <v>176</v>
      </c>
      <c r="T72" s="44">
        <v>1985.47</v>
      </c>
      <c r="U72" s="44">
        <f>1996.699+0.42</f>
        <v>1997.119</v>
      </c>
      <c r="V72" s="44">
        <f>1131.3/13</f>
        <v>87.0230769230769</v>
      </c>
    </row>
    <row r="73" ht="40" customHeight="1" spans="1:22">
      <c r="A73" s="57"/>
      <c r="B73" s="19" t="s">
        <v>130</v>
      </c>
      <c r="C73" s="19" t="s">
        <v>130</v>
      </c>
      <c r="D73" s="54" t="s">
        <v>125</v>
      </c>
      <c r="E73" s="54"/>
      <c r="F73" s="55">
        <v>2007</v>
      </c>
      <c r="G73" s="55">
        <v>2012</v>
      </c>
      <c r="H73" s="4">
        <f t="shared" si="15"/>
        <v>5</v>
      </c>
      <c r="I73" s="19" t="s">
        <v>36</v>
      </c>
      <c r="J73" s="24">
        <v>9</v>
      </c>
      <c r="K73" s="19" t="s">
        <v>126</v>
      </c>
      <c r="L73" s="19" t="s">
        <v>22</v>
      </c>
      <c r="M73" s="18" t="s">
        <v>208</v>
      </c>
      <c r="N73" s="68">
        <f t="shared" si="17"/>
        <v>1141.5</v>
      </c>
      <c r="O73" s="68">
        <v>891.5</v>
      </c>
      <c r="P73" s="69">
        <f t="shared" si="16"/>
        <v>250</v>
      </c>
      <c r="Q73" s="19">
        <v>2018</v>
      </c>
      <c r="R73" s="78" t="s">
        <v>112</v>
      </c>
      <c r="S73" s="19" t="s">
        <v>176</v>
      </c>
      <c r="T73" s="44">
        <f>2017.449-10.33</f>
        <v>2007.119</v>
      </c>
      <c r="U73" s="44">
        <v>2012.119</v>
      </c>
      <c r="V73" s="44">
        <f>452.8/5</f>
        <v>90.56</v>
      </c>
    </row>
    <row r="74" ht="40" customHeight="1" spans="1:22">
      <c r="A74" s="57"/>
      <c r="B74" s="19" t="s">
        <v>130</v>
      </c>
      <c r="C74" s="19" t="s">
        <v>130</v>
      </c>
      <c r="D74" s="54" t="s">
        <v>125</v>
      </c>
      <c r="E74" s="54"/>
      <c r="F74" s="55">
        <v>2033.7</v>
      </c>
      <c r="G74" s="55">
        <v>2034.2</v>
      </c>
      <c r="H74" s="4">
        <f t="shared" si="15"/>
        <v>0.5</v>
      </c>
      <c r="I74" s="19" t="s">
        <v>36</v>
      </c>
      <c r="J74" s="24">
        <v>9</v>
      </c>
      <c r="K74" s="19" t="s">
        <v>126</v>
      </c>
      <c r="L74" s="19" t="s">
        <v>22</v>
      </c>
      <c r="M74" s="18" t="s">
        <v>208</v>
      </c>
      <c r="N74" s="68">
        <f t="shared" si="17"/>
        <v>114.15</v>
      </c>
      <c r="O74" s="68">
        <v>89.15</v>
      </c>
      <c r="P74" s="69">
        <f t="shared" si="16"/>
        <v>25</v>
      </c>
      <c r="Q74" s="19">
        <v>2018</v>
      </c>
      <c r="R74" s="78" t="s">
        <v>112</v>
      </c>
      <c r="S74" s="19" t="s">
        <v>176</v>
      </c>
      <c r="T74" s="44">
        <v>2029.922</v>
      </c>
      <c r="U74" s="44">
        <v>2030.422</v>
      </c>
      <c r="V74" s="44">
        <v>82</v>
      </c>
    </row>
    <row r="75" ht="42" customHeight="1" spans="1:22">
      <c r="A75" s="57"/>
      <c r="B75" s="19" t="s">
        <v>130</v>
      </c>
      <c r="C75" s="19" t="s">
        <v>130</v>
      </c>
      <c r="D75" s="54" t="s">
        <v>125</v>
      </c>
      <c r="E75" s="54"/>
      <c r="F75" s="55">
        <v>2035.5</v>
      </c>
      <c r="G75" s="55">
        <v>2042</v>
      </c>
      <c r="H75" s="4">
        <f t="shared" si="15"/>
        <v>6.5</v>
      </c>
      <c r="I75" s="19" t="s">
        <v>36</v>
      </c>
      <c r="J75" s="24">
        <v>9</v>
      </c>
      <c r="K75" s="19" t="s">
        <v>126</v>
      </c>
      <c r="L75" s="19" t="s">
        <v>22</v>
      </c>
      <c r="M75" s="18" t="s">
        <v>208</v>
      </c>
      <c r="N75" s="68">
        <f t="shared" si="17"/>
        <v>1483.95</v>
      </c>
      <c r="O75" s="68">
        <v>1158.95</v>
      </c>
      <c r="P75" s="69">
        <f t="shared" si="16"/>
        <v>325</v>
      </c>
      <c r="Q75" s="19">
        <v>2018</v>
      </c>
      <c r="R75" s="78" t="s">
        <v>112</v>
      </c>
      <c r="S75" s="19" t="s">
        <v>176</v>
      </c>
      <c r="T75" s="44">
        <f>2031.844-0.122</f>
        <v>2031.722</v>
      </c>
      <c r="U75" s="44">
        <f>2038.742-0.52</f>
        <v>2038.222</v>
      </c>
      <c r="V75" s="44">
        <f>525.8/7</f>
        <v>75.1142857142857</v>
      </c>
    </row>
    <row r="76" ht="42" customHeight="1" spans="1:22">
      <c r="A76" s="56"/>
      <c r="B76" s="19" t="s">
        <v>130</v>
      </c>
      <c r="C76" s="19" t="s">
        <v>130</v>
      </c>
      <c r="D76" s="54" t="s">
        <v>125</v>
      </c>
      <c r="E76" s="54"/>
      <c r="F76" s="55">
        <v>2044.6</v>
      </c>
      <c r="G76" s="55">
        <v>2049.265</v>
      </c>
      <c r="H76" s="4">
        <f t="shared" si="15"/>
        <v>4.66499999999996</v>
      </c>
      <c r="I76" s="19" t="s">
        <v>36</v>
      </c>
      <c r="J76" s="24">
        <v>9</v>
      </c>
      <c r="K76" s="19" t="s">
        <v>126</v>
      </c>
      <c r="L76" s="19" t="s">
        <v>22</v>
      </c>
      <c r="M76" s="18" t="s">
        <v>208</v>
      </c>
      <c r="N76" s="68">
        <f t="shared" si="17"/>
        <v>1065.01949999999</v>
      </c>
      <c r="O76" s="68">
        <v>831.769499999994</v>
      </c>
      <c r="P76" s="69">
        <f t="shared" si="16"/>
        <v>233.249999999998</v>
      </c>
      <c r="Q76" s="19">
        <v>2018</v>
      </c>
      <c r="R76" s="78" t="s">
        <v>112</v>
      </c>
      <c r="S76" s="19" t="s">
        <v>176</v>
      </c>
      <c r="T76" s="44">
        <f>2040.812+0.01</f>
        <v>2040.822</v>
      </c>
      <c r="U76" s="44">
        <v>2045.487</v>
      </c>
      <c r="V76" s="44">
        <f>335.2/4</f>
        <v>83.8</v>
      </c>
    </row>
    <row r="77" ht="45" customHeight="1" spans="1:22">
      <c r="A77" s="59">
        <v>28</v>
      </c>
      <c r="B77" s="19" t="s">
        <v>140</v>
      </c>
      <c r="C77" s="19" t="s">
        <v>140</v>
      </c>
      <c r="D77" s="54" t="s">
        <v>125</v>
      </c>
      <c r="E77" s="54"/>
      <c r="F77" s="55">
        <v>509.67</v>
      </c>
      <c r="G77" s="55">
        <v>510</v>
      </c>
      <c r="H77" s="4">
        <f t="shared" si="15"/>
        <v>0.329999999999984</v>
      </c>
      <c r="I77" s="19" t="s">
        <v>36</v>
      </c>
      <c r="J77" s="24">
        <v>9</v>
      </c>
      <c r="K77" s="19" t="s">
        <v>110</v>
      </c>
      <c r="L77" s="19" t="s">
        <v>22</v>
      </c>
      <c r="M77" s="18" t="s">
        <v>166</v>
      </c>
      <c r="N77" s="68">
        <f t="shared" si="17"/>
        <v>74.7449999999964</v>
      </c>
      <c r="O77" s="68">
        <v>58.2449999999972</v>
      </c>
      <c r="P77" s="69">
        <f t="shared" si="16"/>
        <v>16.4999999999992</v>
      </c>
      <c r="Q77" s="19">
        <v>2018</v>
      </c>
      <c r="R77" s="78" t="s">
        <v>93</v>
      </c>
      <c r="S77" s="19" t="s">
        <v>176</v>
      </c>
      <c r="T77" s="52">
        <f t="shared" ref="T77:T80" si="18">U77-H77</f>
        <v>492.97</v>
      </c>
      <c r="U77" s="44">
        <v>493.3</v>
      </c>
      <c r="V77" s="44">
        <v>82.5</v>
      </c>
    </row>
    <row r="78" ht="45" customHeight="1" spans="1:22">
      <c r="A78" s="60"/>
      <c r="B78" s="19" t="s">
        <v>140</v>
      </c>
      <c r="C78" s="19" t="s">
        <v>140</v>
      </c>
      <c r="D78" s="54" t="s">
        <v>125</v>
      </c>
      <c r="E78" s="54"/>
      <c r="F78" s="55">
        <v>512.33</v>
      </c>
      <c r="G78" s="55">
        <v>512.8</v>
      </c>
      <c r="H78" s="4">
        <f t="shared" si="15"/>
        <v>0.469999999999914</v>
      </c>
      <c r="I78" s="19" t="s">
        <v>36</v>
      </c>
      <c r="J78" s="24">
        <v>9</v>
      </c>
      <c r="K78" s="19" t="s">
        <v>110</v>
      </c>
      <c r="L78" s="19" t="s">
        <v>22</v>
      </c>
      <c r="M78" s="18" t="s">
        <v>166</v>
      </c>
      <c r="N78" s="68">
        <f t="shared" si="17"/>
        <v>106.45499999998</v>
      </c>
      <c r="O78" s="68">
        <v>82.9549999999847</v>
      </c>
      <c r="P78" s="69">
        <f t="shared" si="16"/>
        <v>23.4999999999957</v>
      </c>
      <c r="Q78" s="19">
        <v>2018</v>
      </c>
      <c r="R78" s="78" t="s">
        <v>93</v>
      </c>
      <c r="S78" s="19" t="s">
        <v>176</v>
      </c>
      <c r="T78" s="44">
        <v>495.63</v>
      </c>
      <c r="U78" s="52">
        <f>T78+H78</f>
        <v>496.1</v>
      </c>
      <c r="V78" s="44">
        <v>80.6</v>
      </c>
    </row>
    <row r="79" ht="43" customHeight="1" spans="1:22">
      <c r="A79" s="60"/>
      <c r="B79" s="19" t="s">
        <v>140</v>
      </c>
      <c r="C79" s="19" t="s">
        <v>140</v>
      </c>
      <c r="D79" s="54" t="s">
        <v>125</v>
      </c>
      <c r="E79" s="54"/>
      <c r="F79" s="55">
        <v>514.6</v>
      </c>
      <c r="G79" s="55">
        <v>515</v>
      </c>
      <c r="H79" s="4">
        <f t="shared" si="15"/>
        <v>0.399999999999977</v>
      </c>
      <c r="I79" s="19" t="s">
        <v>36</v>
      </c>
      <c r="J79" s="24">
        <v>9</v>
      </c>
      <c r="K79" s="19" t="s">
        <v>110</v>
      </c>
      <c r="L79" s="19" t="s">
        <v>22</v>
      </c>
      <c r="M79" s="18" t="s">
        <v>166</v>
      </c>
      <c r="N79" s="68">
        <f t="shared" si="17"/>
        <v>90.5999999999948</v>
      </c>
      <c r="O79" s="68">
        <v>70.599999999996</v>
      </c>
      <c r="P79" s="69">
        <f t="shared" si="16"/>
        <v>19.9999999999989</v>
      </c>
      <c r="Q79" s="19">
        <v>2018</v>
      </c>
      <c r="R79" s="78" t="s">
        <v>93</v>
      </c>
      <c r="S79" s="19" t="s">
        <v>176</v>
      </c>
      <c r="T79" s="52">
        <f t="shared" si="18"/>
        <v>497.9</v>
      </c>
      <c r="U79" s="44">
        <f>498.4-0.1</f>
        <v>498.3</v>
      </c>
      <c r="V79" s="44">
        <v>82.8</v>
      </c>
    </row>
    <row r="80" ht="35.25" customHeight="1" spans="1:22">
      <c r="A80" s="60"/>
      <c r="B80" s="19" t="s">
        <v>140</v>
      </c>
      <c r="C80" s="19" t="s">
        <v>140</v>
      </c>
      <c r="D80" s="54" t="s">
        <v>125</v>
      </c>
      <c r="E80" s="54"/>
      <c r="F80" s="55">
        <v>516.32</v>
      </c>
      <c r="G80" s="55">
        <v>518.04</v>
      </c>
      <c r="H80" s="4">
        <f t="shared" si="15"/>
        <v>1.71999999999991</v>
      </c>
      <c r="I80" s="19" t="s">
        <v>36</v>
      </c>
      <c r="J80" s="24">
        <v>9</v>
      </c>
      <c r="K80" s="19" t="s">
        <v>110</v>
      </c>
      <c r="L80" s="19" t="s">
        <v>22</v>
      </c>
      <c r="M80" s="18" t="s">
        <v>166</v>
      </c>
      <c r="N80" s="68">
        <f t="shared" si="17"/>
        <v>389.57999999998</v>
      </c>
      <c r="O80" s="68">
        <v>303.579999999985</v>
      </c>
      <c r="P80" s="69">
        <f t="shared" si="16"/>
        <v>85.9999999999957</v>
      </c>
      <c r="Q80" s="19">
        <v>2018</v>
      </c>
      <c r="R80" s="78" t="s">
        <v>93</v>
      </c>
      <c r="S80" s="19" t="s">
        <v>176</v>
      </c>
      <c r="T80" s="52">
        <f t="shared" si="18"/>
        <v>499.62</v>
      </c>
      <c r="U80" s="44">
        <v>501.34</v>
      </c>
      <c r="V80" s="44">
        <f>166.1/2</f>
        <v>83.05</v>
      </c>
    </row>
    <row r="81" ht="35.25" customHeight="1" spans="1:22">
      <c r="A81" s="61"/>
      <c r="B81" s="19" t="s">
        <v>140</v>
      </c>
      <c r="C81" s="19" t="s">
        <v>140</v>
      </c>
      <c r="D81" s="54" t="s">
        <v>125</v>
      </c>
      <c r="E81" s="54"/>
      <c r="F81" s="55">
        <v>525</v>
      </c>
      <c r="G81" s="55">
        <v>526.14</v>
      </c>
      <c r="H81" s="4">
        <f t="shared" si="15"/>
        <v>1.13999999999999</v>
      </c>
      <c r="I81" s="19" t="s">
        <v>36</v>
      </c>
      <c r="J81" s="24">
        <v>9</v>
      </c>
      <c r="K81" s="19" t="s">
        <v>110</v>
      </c>
      <c r="L81" s="19" t="s">
        <v>22</v>
      </c>
      <c r="M81" s="18" t="s">
        <v>166</v>
      </c>
      <c r="N81" s="68">
        <f t="shared" si="17"/>
        <v>258.209999999997</v>
      </c>
      <c r="O81" s="68">
        <v>201.209999999998</v>
      </c>
      <c r="P81" s="69">
        <f t="shared" si="16"/>
        <v>56.9999999999993</v>
      </c>
      <c r="Q81" s="19">
        <v>2018</v>
      </c>
      <c r="R81" s="78" t="s">
        <v>93</v>
      </c>
      <c r="S81" s="19" t="s">
        <v>176</v>
      </c>
      <c r="T81" s="44">
        <f>508.272+0.028</f>
        <v>508.3</v>
      </c>
      <c r="U81" s="44">
        <f>509.469-0.029</f>
        <v>509.44</v>
      </c>
      <c r="V81" s="44">
        <v>91.3</v>
      </c>
    </row>
    <row r="82" ht="35.25" customHeight="1" spans="1:22">
      <c r="A82" s="59">
        <v>29</v>
      </c>
      <c r="B82" s="19" t="s">
        <v>124</v>
      </c>
      <c r="C82" s="19" t="s">
        <v>124</v>
      </c>
      <c r="D82" s="54" t="s">
        <v>125</v>
      </c>
      <c r="E82" s="54"/>
      <c r="F82" s="55">
        <v>42.375</v>
      </c>
      <c r="G82" s="55">
        <v>43</v>
      </c>
      <c r="H82" s="4">
        <f t="shared" si="15"/>
        <v>0.625</v>
      </c>
      <c r="I82" s="19" t="s">
        <v>36</v>
      </c>
      <c r="J82" s="24">
        <v>9</v>
      </c>
      <c r="K82" s="19" t="s">
        <v>110</v>
      </c>
      <c r="L82" s="19" t="s">
        <v>22</v>
      </c>
      <c r="M82" s="18" t="s">
        <v>167</v>
      </c>
      <c r="N82" s="68">
        <f t="shared" si="17"/>
        <v>128.34375</v>
      </c>
      <c r="O82" s="68">
        <v>97.09375</v>
      </c>
      <c r="P82" s="69">
        <f t="shared" si="16"/>
        <v>31.25</v>
      </c>
      <c r="Q82" s="19">
        <v>2018</v>
      </c>
      <c r="R82" s="78" t="s">
        <v>93</v>
      </c>
      <c r="S82" s="19" t="s">
        <v>176</v>
      </c>
      <c r="T82" s="44">
        <v>42.375</v>
      </c>
      <c r="U82" s="44">
        <v>43</v>
      </c>
      <c r="V82" s="44">
        <v>90.7</v>
      </c>
    </row>
    <row r="83" ht="35.25" customHeight="1" spans="1:22">
      <c r="A83" s="60"/>
      <c r="B83" s="19" t="s">
        <v>124</v>
      </c>
      <c r="C83" s="19" t="s">
        <v>124</v>
      </c>
      <c r="D83" s="54" t="s">
        <v>125</v>
      </c>
      <c r="E83" s="54"/>
      <c r="F83" s="55">
        <v>45.8</v>
      </c>
      <c r="G83" s="55">
        <v>46.8</v>
      </c>
      <c r="H83" s="4">
        <f t="shared" si="15"/>
        <v>1</v>
      </c>
      <c r="I83" s="19" t="s">
        <v>36</v>
      </c>
      <c r="J83" s="24">
        <v>9</v>
      </c>
      <c r="K83" s="19" t="s">
        <v>110</v>
      </c>
      <c r="L83" s="19" t="s">
        <v>22</v>
      </c>
      <c r="M83" s="18" t="s">
        <v>167</v>
      </c>
      <c r="N83" s="68">
        <f t="shared" si="17"/>
        <v>205.35</v>
      </c>
      <c r="O83" s="68">
        <v>155.35</v>
      </c>
      <c r="P83" s="69">
        <f t="shared" si="16"/>
        <v>50</v>
      </c>
      <c r="Q83" s="19">
        <v>2018</v>
      </c>
      <c r="R83" s="78" t="s">
        <v>93</v>
      </c>
      <c r="S83" s="19" t="s">
        <v>176</v>
      </c>
      <c r="T83" s="44">
        <v>45.8</v>
      </c>
      <c r="U83" s="44">
        <v>46.8</v>
      </c>
      <c r="V83" s="44">
        <f>177.2/2</f>
        <v>88.6</v>
      </c>
    </row>
    <row r="84" ht="35.25" customHeight="1" spans="1:22">
      <c r="A84" s="60">
        <v>29</v>
      </c>
      <c r="B84" s="19" t="s">
        <v>124</v>
      </c>
      <c r="C84" s="19" t="s">
        <v>124</v>
      </c>
      <c r="D84" s="54" t="s">
        <v>125</v>
      </c>
      <c r="E84" s="54"/>
      <c r="F84" s="55">
        <v>47.5</v>
      </c>
      <c r="G84" s="55">
        <v>48</v>
      </c>
      <c r="H84" s="4">
        <f t="shared" si="15"/>
        <v>0.5</v>
      </c>
      <c r="I84" s="19" t="s">
        <v>36</v>
      </c>
      <c r="J84" s="24">
        <v>9</v>
      </c>
      <c r="K84" s="19" t="s">
        <v>110</v>
      </c>
      <c r="L84" s="19" t="s">
        <v>22</v>
      </c>
      <c r="M84" s="18" t="s">
        <v>167</v>
      </c>
      <c r="N84" s="68">
        <f t="shared" si="17"/>
        <v>102.675</v>
      </c>
      <c r="O84" s="68">
        <v>77.675</v>
      </c>
      <c r="P84" s="69">
        <f t="shared" si="16"/>
        <v>25</v>
      </c>
      <c r="Q84" s="19">
        <v>2018</v>
      </c>
      <c r="R84" s="78" t="s">
        <v>93</v>
      </c>
      <c r="S84" s="19" t="s">
        <v>176</v>
      </c>
      <c r="T84" s="44">
        <v>47.5</v>
      </c>
      <c r="U84" s="44">
        <v>48</v>
      </c>
      <c r="V84" s="44">
        <v>96.1</v>
      </c>
    </row>
    <row r="85" ht="35.25" customHeight="1" spans="1:22">
      <c r="A85" s="60"/>
      <c r="B85" s="19" t="s">
        <v>124</v>
      </c>
      <c r="C85" s="19" t="s">
        <v>124</v>
      </c>
      <c r="D85" s="54" t="s">
        <v>125</v>
      </c>
      <c r="E85" s="54"/>
      <c r="F85" s="55">
        <v>48.5</v>
      </c>
      <c r="G85" s="55">
        <v>49.1</v>
      </c>
      <c r="H85" s="4">
        <f t="shared" si="15"/>
        <v>0.600000000000001</v>
      </c>
      <c r="I85" s="19" t="s">
        <v>36</v>
      </c>
      <c r="J85" s="24">
        <v>9</v>
      </c>
      <c r="K85" s="19" t="s">
        <v>110</v>
      </c>
      <c r="L85" s="19" t="s">
        <v>22</v>
      </c>
      <c r="M85" s="18" t="s">
        <v>167</v>
      </c>
      <c r="N85" s="68">
        <f t="shared" si="17"/>
        <v>123.21</v>
      </c>
      <c r="O85" s="68">
        <v>93.2100000000002</v>
      </c>
      <c r="P85" s="69">
        <f t="shared" si="16"/>
        <v>30.0000000000001</v>
      </c>
      <c r="Q85" s="19">
        <v>2018</v>
      </c>
      <c r="R85" s="78" t="s">
        <v>93</v>
      </c>
      <c r="S85" s="19" t="s">
        <v>176</v>
      </c>
      <c r="T85" s="44">
        <v>48.5</v>
      </c>
      <c r="U85" s="44">
        <v>49.1</v>
      </c>
      <c r="V85" s="44">
        <v>85.3</v>
      </c>
    </row>
    <row r="86" ht="35.25" customHeight="1" spans="1:22">
      <c r="A86" s="60"/>
      <c r="B86" s="19" t="s">
        <v>124</v>
      </c>
      <c r="C86" s="19" t="s">
        <v>124</v>
      </c>
      <c r="D86" s="54" t="s">
        <v>125</v>
      </c>
      <c r="E86" s="54"/>
      <c r="F86" s="55">
        <v>49.5</v>
      </c>
      <c r="G86" s="55">
        <v>50</v>
      </c>
      <c r="H86" s="4">
        <f t="shared" si="15"/>
        <v>0.5</v>
      </c>
      <c r="I86" s="19" t="s">
        <v>36</v>
      </c>
      <c r="J86" s="24">
        <v>9</v>
      </c>
      <c r="K86" s="19" t="s">
        <v>110</v>
      </c>
      <c r="L86" s="19" t="s">
        <v>22</v>
      </c>
      <c r="M86" s="18" t="s">
        <v>167</v>
      </c>
      <c r="N86" s="68">
        <f t="shared" si="17"/>
        <v>102.675</v>
      </c>
      <c r="O86" s="68">
        <v>77.675</v>
      </c>
      <c r="P86" s="69">
        <f t="shared" si="16"/>
        <v>25</v>
      </c>
      <c r="Q86" s="19">
        <v>2018</v>
      </c>
      <c r="R86" s="78" t="s">
        <v>93</v>
      </c>
      <c r="S86" s="19" t="s">
        <v>176</v>
      </c>
      <c r="T86" s="44">
        <v>49.5</v>
      </c>
      <c r="U86" s="44">
        <v>50</v>
      </c>
      <c r="V86" s="44">
        <v>93.7</v>
      </c>
    </row>
    <row r="87" ht="35.25" customHeight="1" spans="1:22">
      <c r="A87" s="60"/>
      <c r="B87" s="19" t="s">
        <v>124</v>
      </c>
      <c r="C87" s="19" t="s">
        <v>124</v>
      </c>
      <c r="D87" s="54" t="s">
        <v>125</v>
      </c>
      <c r="E87" s="54"/>
      <c r="F87" s="55">
        <v>50.5</v>
      </c>
      <c r="G87" s="55">
        <v>52</v>
      </c>
      <c r="H87" s="4">
        <f t="shared" si="15"/>
        <v>1.5</v>
      </c>
      <c r="I87" s="19" t="s">
        <v>36</v>
      </c>
      <c r="J87" s="24">
        <v>9</v>
      </c>
      <c r="K87" s="19" t="s">
        <v>110</v>
      </c>
      <c r="L87" s="19" t="s">
        <v>22</v>
      </c>
      <c r="M87" s="18" t="s">
        <v>167</v>
      </c>
      <c r="N87" s="68">
        <f t="shared" si="17"/>
        <v>308.025</v>
      </c>
      <c r="O87" s="68">
        <v>233.025</v>
      </c>
      <c r="P87" s="69">
        <f t="shared" si="16"/>
        <v>75</v>
      </c>
      <c r="Q87" s="19">
        <v>2018</v>
      </c>
      <c r="R87" s="78" t="s">
        <v>93</v>
      </c>
      <c r="S87" s="19" t="s">
        <v>176</v>
      </c>
      <c r="T87" s="44">
        <v>50.5</v>
      </c>
      <c r="U87" s="44">
        <v>52</v>
      </c>
      <c r="V87" s="44">
        <f>184/2</f>
        <v>92</v>
      </c>
    </row>
    <row r="88" ht="35.25" customHeight="1" spans="1:22">
      <c r="A88" s="60"/>
      <c r="B88" s="19" t="s">
        <v>124</v>
      </c>
      <c r="C88" s="19" t="s">
        <v>124</v>
      </c>
      <c r="D88" s="54" t="s">
        <v>125</v>
      </c>
      <c r="E88" s="54"/>
      <c r="F88" s="55">
        <v>53.7</v>
      </c>
      <c r="G88" s="55">
        <v>56</v>
      </c>
      <c r="H88" s="4">
        <f t="shared" si="15"/>
        <v>2.3</v>
      </c>
      <c r="I88" s="19" t="s">
        <v>36</v>
      </c>
      <c r="J88" s="24">
        <v>9</v>
      </c>
      <c r="K88" s="19" t="s">
        <v>110</v>
      </c>
      <c r="L88" s="19" t="s">
        <v>22</v>
      </c>
      <c r="M88" s="18" t="s">
        <v>167</v>
      </c>
      <c r="N88" s="68">
        <f t="shared" si="17"/>
        <v>472.305</v>
      </c>
      <c r="O88" s="68">
        <v>357.305</v>
      </c>
      <c r="P88" s="69">
        <f t="shared" si="16"/>
        <v>115</v>
      </c>
      <c r="Q88" s="19">
        <v>2018</v>
      </c>
      <c r="R88" s="78" t="s">
        <v>93</v>
      </c>
      <c r="S88" s="19" t="s">
        <v>176</v>
      </c>
      <c r="T88" s="44">
        <v>53.7</v>
      </c>
      <c r="U88" s="44">
        <v>56</v>
      </c>
      <c r="V88" s="44">
        <f>273.4/3</f>
        <v>91.1333333333333</v>
      </c>
    </row>
    <row r="89" ht="35.25" customHeight="1" spans="1:22">
      <c r="A89" s="60"/>
      <c r="B89" s="19" t="s">
        <v>124</v>
      </c>
      <c r="C89" s="19" t="s">
        <v>124</v>
      </c>
      <c r="D89" s="54" t="s">
        <v>125</v>
      </c>
      <c r="E89" s="54"/>
      <c r="F89" s="55">
        <v>76.8</v>
      </c>
      <c r="G89" s="55">
        <v>78</v>
      </c>
      <c r="H89" s="4">
        <f t="shared" si="15"/>
        <v>1.2</v>
      </c>
      <c r="I89" s="19" t="s">
        <v>36</v>
      </c>
      <c r="J89" s="24">
        <v>12</v>
      </c>
      <c r="K89" s="19" t="s">
        <v>110</v>
      </c>
      <c r="L89" s="19" t="s">
        <v>22</v>
      </c>
      <c r="M89" s="18" t="s">
        <v>167</v>
      </c>
      <c r="N89" s="68">
        <f t="shared" si="17"/>
        <v>308.160000000001</v>
      </c>
      <c r="O89" s="68">
        <v>248.160000000001</v>
      </c>
      <c r="P89" s="69">
        <f t="shared" si="16"/>
        <v>60.0000000000001</v>
      </c>
      <c r="Q89" s="19">
        <v>2018</v>
      </c>
      <c r="R89" s="78" t="s">
        <v>93</v>
      </c>
      <c r="S89" s="19" t="s">
        <v>176</v>
      </c>
      <c r="T89" s="44"/>
      <c r="U89" s="44"/>
      <c r="V89" s="44"/>
    </row>
    <row r="90" ht="35.25" customHeight="1" spans="1:22">
      <c r="A90" s="60"/>
      <c r="B90" s="19" t="s">
        <v>124</v>
      </c>
      <c r="C90" s="19" t="s">
        <v>124</v>
      </c>
      <c r="D90" s="54" t="s">
        <v>125</v>
      </c>
      <c r="E90" s="54"/>
      <c r="F90" s="55">
        <v>79.3</v>
      </c>
      <c r="G90" s="55">
        <v>80.1</v>
      </c>
      <c r="H90" s="4">
        <f t="shared" si="15"/>
        <v>0.799999999999997</v>
      </c>
      <c r="I90" s="19" t="s">
        <v>36</v>
      </c>
      <c r="J90" s="24">
        <v>12</v>
      </c>
      <c r="K90" s="19" t="s">
        <v>110</v>
      </c>
      <c r="L90" s="19" t="s">
        <v>22</v>
      </c>
      <c r="M90" s="18" t="s">
        <v>167</v>
      </c>
      <c r="N90" s="68">
        <f t="shared" si="17"/>
        <v>205.439999999999</v>
      </c>
      <c r="O90" s="68">
        <v>165.439999999999</v>
      </c>
      <c r="P90" s="69">
        <f t="shared" si="16"/>
        <v>39.9999999999999</v>
      </c>
      <c r="Q90" s="19">
        <v>2018</v>
      </c>
      <c r="R90" s="78" t="s">
        <v>93</v>
      </c>
      <c r="S90" s="19" t="s">
        <v>176</v>
      </c>
      <c r="T90" s="44"/>
      <c r="U90" s="44"/>
      <c r="V90" s="44"/>
    </row>
    <row r="91" ht="33" customHeight="1" spans="1:22">
      <c r="A91" s="60"/>
      <c r="B91" s="19" t="s">
        <v>124</v>
      </c>
      <c r="C91" s="19" t="s">
        <v>124</v>
      </c>
      <c r="D91" s="54" t="s">
        <v>125</v>
      </c>
      <c r="E91" s="54"/>
      <c r="F91" s="55">
        <v>83</v>
      </c>
      <c r="G91" s="55">
        <v>84.1</v>
      </c>
      <c r="H91" s="4">
        <f t="shared" si="15"/>
        <v>1.09999999999999</v>
      </c>
      <c r="I91" s="19" t="s">
        <v>36</v>
      </c>
      <c r="J91" s="24">
        <v>12</v>
      </c>
      <c r="K91" s="19" t="s">
        <v>110</v>
      </c>
      <c r="L91" s="19" t="s">
        <v>22</v>
      </c>
      <c r="M91" s="18" t="s">
        <v>167</v>
      </c>
      <c r="N91" s="68">
        <f t="shared" si="17"/>
        <v>282.479999999999</v>
      </c>
      <c r="O91" s="68">
        <v>227.479999999999</v>
      </c>
      <c r="P91" s="69">
        <f t="shared" si="16"/>
        <v>54.9999999999997</v>
      </c>
      <c r="Q91" s="19">
        <v>2018</v>
      </c>
      <c r="R91" s="78" t="s">
        <v>93</v>
      </c>
      <c r="S91" s="19" t="s">
        <v>176</v>
      </c>
      <c r="T91" s="44"/>
      <c r="U91" s="44">
        <v>85.215</v>
      </c>
      <c r="V91" s="44"/>
    </row>
    <row r="92" ht="33" customHeight="1" spans="1:22">
      <c r="A92" s="60"/>
      <c r="B92" s="19" t="s">
        <v>124</v>
      </c>
      <c r="C92" s="19" t="s">
        <v>124</v>
      </c>
      <c r="D92" s="54" t="s">
        <v>125</v>
      </c>
      <c r="E92" s="54"/>
      <c r="F92" s="55">
        <v>88</v>
      </c>
      <c r="G92" s="55">
        <v>90</v>
      </c>
      <c r="H92" s="4">
        <f t="shared" si="15"/>
        <v>2</v>
      </c>
      <c r="I92" s="19" t="s">
        <v>36</v>
      </c>
      <c r="J92" s="24">
        <v>12</v>
      </c>
      <c r="K92" s="19" t="s">
        <v>110</v>
      </c>
      <c r="L92" s="19" t="s">
        <v>22</v>
      </c>
      <c r="M92" s="18" t="s">
        <v>167</v>
      </c>
      <c r="N92" s="68">
        <f t="shared" si="17"/>
        <v>513.6</v>
      </c>
      <c r="O92" s="68">
        <v>413.6</v>
      </c>
      <c r="P92" s="69">
        <f t="shared" si="16"/>
        <v>100</v>
      </c>
      <c r="Q92" s="19">
        <v>2018</v>
      </c>
      <c r="R92" s="78" t="s">
        <v>93</v>
      </c>
      <c r="S92" s="19" t="s">
        <v>176</v>
      </c>
      <c r="T92" s="44">
        <v>86.55</v>
      </c>
      <c r="U92" s="44">
        <f>91.35-2.8</f>
        <v>88.55</v>
      </c>
      <c r="V92" s="44">
        <f>184.2/2</f>
        <v>92.1</v>
      </c>
    </row>
    <row r="93" ht="41.25" customHeight="1" spans="1:22">
      <c r="A93" s="60"/>
      <c r="B93" s="19" t="s">
        <v>124</v>
      </c>
      <c r="C93" s="19" t="s">
        <v>124</v>
      </c>
      <c r="D93" s="54" t="s">
        <v>125</v>
      </c>
      <c r="E93" s="54"/>
      <c r="F93" s="55">
        <v>92.8</v>
      </c>
      <c r="G93" s="55">
        <v>93.8</v>
      </c>
      <c r="H93" s="4">
        <f t="shared" si="15"/>
        <v>1</v>
      </c>
      <c r="I93" s="19" t="s">
        <v>36</v>
      </c>
      <c r="J93" s="24">
        <v>12</v>
      </c>
      <c r="K93" s="19" t="s">
        <v>126</v>
      </c>
      <c r="L93" s="19" t="s">
        <v>22</v>
      </c>
      <c r="M93" s="18" t="s">
        <v>168</v>
      </c>
      <c r="N93" s="68">
        <f t="shared" si="17"/>
        <v>294.6</v>
      </c>
      <c r="O93" s="68">
        <v>244.6</v>
      </c>
      <c r="P93" s="69">
        <f t="shared" si="16"/>
        <v>50</v>
      </c>
      <c r="Q93" s="19">
        <v>2018</v>
      </c>
      <c r="R93" s="78" t="s">
        <v>93</v>
      </c>
      <c r="S93" s="19" t="s">
        <v>176</v>
      </c>
      <c r="T93" s="44">
        <v>91.35</v>
      </c>
      <c r="U93" s="44">
        <v>92.35</v>
      </c>
      <c r="V93" s="44">
        <v>96.4</v>
      </c>
    </row>
    <row r="94" ht="33" customHeight="1" spans="1:22">
      <c r="A94" s="60"/>
      <c r="B94" s="19" t="s">
        <v>124</v>
      </c>
      <c r="C94" s="19" t="s">
        <v>124</v>
      </c>
      <c r="D94" s="54" t="s">
        <v>125</v>
      </c>
      <c r="E94" s="54"/>
      <c r="F94" s="55">
        <v>95.6</v>
      </c>
      <c r="G94" s="55">
        <v>96.655</v>
      </c>
      <c r="H94" s="4">
        <f t="shared" si="15"/>
        <v>1.05500000000001</v>
      </c>
      <c r="I94" s="19" t="s">
        <v>36</v>
      </c>
      <c r="J94" s="24">
        <v>12</v>
      </c>
      <c r="K94" s="19" t="s">
        <v>110</v>
      </c>
      <c r="L94" s="19" t="s">
        <v>22</v>
      </c>
      <c r="M94" s="18" t="s">
        <v>167</v>
      </c>
      <c r="N94" s="68">
        <f t="shared" si="17"/>
        <v>270.924000000002</v>
      </c>
      <c r="O94" s="68">
        <v>218.174000000001</v>
      </c>
      <c r="P94" s="69">
        <f t="shared" si="16"/>
        <v>52.7500000000003</v>
      </c>
      <c r="Q94" s="19">
        <v>2018</v>
      </c>
      <c r="R94" s="78" t="s">
        <v>93</v>
      </c>
      <c r="S94" s="19" t="s">
        <v>176</v>
      </c>
      <c r="T94" s="44">
        <f>92.35+1.8</f>
        <v>94.15</v>
      </c>
      <c r="U94" s="44">
        <v>95.205</v>
      </c>
      <c r="V94" s="44">
        <v>81.9</v>
      </c>
    </row>
    <row r="95" ht="38.25" customHeight="1" spans="1:22">
      <c r="A95" s="60"/>
      <c r="B95" s="19" t="s">
        <v>124</v>
      </c>
      <c r="C95" s="19" t="s">
        <v>124</v>
      </c>
      <c r="D95" s="54" t="s">
        <v>125</v>
      </c>
      <c r="E95" s="54"/>
      <c r="F95" s="55">
        <v>101.627</v>
      </c>
      <c r="G95" s="55">
        <v>101.83</v>
      </c>
      <c r="H95" s="4">
        <f t="shared" si="15"/>
        <v>0.203000000000003</v>
      </c>
      <c r="I95" s="19" t="s">
        <v>36</v>
      </c>
      <c r="J95" s="24">
        <v>12</v>
      </c>
      <c r="K95" s="19" t="s">
        <v>126</v>
      </c>
      <c r="L95" s="19" t="s">
        <v>22</v>
      </c>
      <c r="M95" s="18" t="s">
        <v>168</v>
      </c>
      <c r="N95" s="68">
        <f t="shared" si="17"/>
        <v>59.8038000000009</v>
      </c>
      <c r="O95" s="68">
        <v>49.6538000000007</v>
      </c>
      <c r="P95" s="69">
        <f t="shared" si="16"/>
        <v>10.1500000000001</v>
      </c>
      <c r="Q95" s="19">
        <v>2018</v>
      </c>
      <c r="R95" s="78" t="s">
        <v>93</v>
      </c>
      <c r="S95" s="19" t="s">
        <v>176</v>
      </c>
      <c r="T95" s="44">
        <v>100.177</v>
      </c>
      <c r="U95" s="52">
        <f>100.177+H95</f>
        <v>100.38</v>
      </c>
      <c r="V95" s="44"/>
    </row>
    <row r="96" ht="33" customHeight="1" spans="1:22">
      <c r="A96" s="61"/>
      <c r="B96" s="19" t="s">
        <v>124</v>
      </c>
      <c r="C96" s="19" t="s">
        <v>124</v>
      </c>
      <c r="D96" s="54" t="s">
        <v>125</v>
      </c>
      <c r="E96" s="54"/>
      <c r="F96" s="55">
        <v>101.83</v>
      </c>
      <c r="G96" s="55">
        <v>103.411</v>
      </c>
      <c r="H96" s="4">
        <f t="shared" si="15"/>
        <v>1.581</v>
      </c>
      <c r="I96" s="19" t="s">
        <v>36</v>
      </c>
      <c r="J96" s="24">
        <v>12</v>
      </c>
      <c r="K96" s="19" t="s">
        <v>110</v>
      </c>
      <c r="L96" s="19" t="s">
        <v>22</v>
      </c>
      <c r="M96" s="18" t="s">
        <v>167</v>
      </c>
      <c r="N96" s="68">
        <f t="shared" si="17"/>
        <v>406.000800000001</v>
      </c>
      <c r="O96" s="68">
        <v>326.950800000001</v>
      </c>
      <c r="P96" s="69">
        <f t="shared" si="16"/>
        <v>79.0500000000002</v>
      </c>
      <c r="Q96" s="19">
        <v>2018</v>
      </c>
      <c r="R96" s="78" t="s">
        <v>93</v>
      </c>
      <c r="S96" s="19" t="s">
        <v>176</v>
      </c>
      <c r="T96" s="44">
        <v>100.38</v>
      </c>
      <c r="U96" s="44">
        <v>101.961</v>
      </c>
      <c r="V96" s="44"/>
    </row>
  </sheetData>
  <mergeCells count="21">
    <mergeCell ref="A1:S1"/>
    <mergeCell ref="A9:A10"/>
    <mergeCell ref="A11:A14"/>
    <mergeCell ref="A15:A16"/>
    <mergeCell ref="A17:A20"/>
    <mergeCell ref="A21:A22"/>
    <mergeCell ref="A23:A29"/>
    <mergeCell ref="A31:A32"/>
    <mergeCell ref="A35:A36"/>
    <mergeCell ref="A37:A38"/>
    <mergeCell ref="A39:A45"/>
    <mergeCell ref="A47:A50"/>
    <mergeCell ref="A52:A55"/>
    <mergeCell ref="A59:A60"/>
    <mergeCell ref="A63:A64"/>
    <mergeCell ref="A65:A66"/>
    <mergeCell ref="A67:A70"/>
    <mergeCell ref="A72:A76"/>
    <mergeCell ref="A77:A81"/>
    <mergeCell ref="A82:A83"/>
    <mergeCell ref="A84:A96"/>
  </mergeCells>
  <pageMargins left="0.590277777777778" right="0.590277777777778" top="0.590277777777778" bottom="0.590277777777778" header="0.511805555555556" footer="0.511805555555556"/>
  <pageSetup paperSize="8" fitToHeight="0" orientation="landscape"/>
  <headerFooter alignWithMargins="0"/>
  <rowBreaks count="1" manualBreakCount="1">
    <brk id="9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8"/>
  <sheetViews>
    <sheetView topLeftCell="A28" workbookViewId="0">
      <selection activeCell="H5" sqref="H21:H32 H37:H38 H16 H18 H5:H6"/>
    </sheetView>
  </sheetViews>
  <sheetFormatPr defaultColWidth="9" defaultRowHeight="13.5"/>
  <cols>
    <col min="1" max="1" width="3.5" customWidth="1"/>
    <col min="2" max="3" width="5" customWidth="1"/>
    <col min="4" max="4" width="2.5" customWidth="1"/>
    <col min="6" max="7" width="9.375" customWidth="1"/>
    <col min="8" max="8" width="6.75" customWidth="1"/>
    <col min="9" max="9" width="4.75" customWidth="1"/>
    <col min="10" max="10" width="5.875" customWidth="1"/>
    <col min="11" max="12" width="8" customWidth="1"/>
    <col min="13" max="13" width="39.625" customWidth="1"/>
    <col min="14" max="14" width="5.875" customWidth="1"/>
    <col min="15" max="15" width="9.375" customWidth="1"/>
    <col min="16" max="17" width="5" customWidth="1"/>
    <col min="18" max="18" width="8" customWidth="1"/>
    <col min="19" max="19" width="18.75" customWidth="1"/>
  </cols>
  <sheetData>
    <row r="1" ht="36" spans="1:19">
      <c r="A1">
        <v>28</v>
      </c>
      <c r="B1" s="2" t="s">
        <v>132</v>
      </c>
      <c r="C1" s="2" t="s">
        <v>132</v>
      </c>
      <c r="D1" s="2" t="s">
        <v>125</v>
      </c>
      <c r="E1" s="3"/>
      <c r="F1" s="4" t="s">
        <v>161</v>
      </c>
      <c r="G1" s="4" t="s">
        <v>162</v>
      </c>
      <c r="H1" s="5">
        <f t="shared" ref="H1:H26" si="0">G1-F1</f>
        <v>3.89499999999998</v>
      </c>
      <c r="I1" s="12" t="s">
        <v>36</v>
      </c>
      <c r="J1" s="12">
        <v>9</v>
      </c>
      <c r="K1" s="12" t="s">
        <v>43</v>
      </c>
      <c r="L1" s="18" t="s">
        <v>22</v>
      </c>
      <c r="M1" s="19" t="s">
        <v>44</v>
      </c>
      <c r="N1" s="20">
        <f t="shared" ref="N1:N26" si="1">O1+P1</f>
        <v>889.228499999996</v>
      </c>
      <c r="O1" s="2">
        <f>(H1*1000*J1*(8+0.3*200+8+0.06*1150+0.04*1300)+H1*10000)/10000</f>
        <v>694.478499999997</v>
      </c>
      <c r="P1" s="13">
        <f t="shared" ref="P1:P26" si="2">50*H1</f>
        <v>194.749999999999</v>
      </c>
      <c r="Q1" s="31">
        <v>2017</v>
      </c>
      <c r="R1" s="2" t="s">
        <v>163</v>
      </c>
      <c r="S1" s="19" t="s">
        <v>123</v>
      </c>
    </row>
    <row r="2" ht="36" spans="1:19">
      <c r="A2">
        <v>29</v>
      </c>
      <c r="B2" s="2" t="s">
        <v>132</v>
      </c>
      <c r="C2" s="2" t="s">
        <v>132</v>
      </c>
      <c r="D2" s="2" t="s">
        <v>125</v>
      </c>
      <c r="E2" s="3"/>
      <c r="F2" s="4" t="s">
        <v>162</v>
      </c>
      <c r="G2" s="4" t="s">
        <v>164</v>
      </c>
      <c r="H2" s="5">
        <f t="shared" si="0"/>
        <v>1.41600000000017</v>
      </c>
      <c r="I2" s="12" t="s">
        <v>36</v>
      </c>
      <c r="J2" s="12">
        <v>9</v>
      </c>
      <c r="K2" s="12" t="s">
        <v>43</v>
      </c>
      <c r="L2" s="18" t="s">
        <v>22</v>
      </c>
      <c r="M2" s="19" t="s">
        <v>44</v>
      </c>
      <c r="N2" s="20">
        <f t="shared" si="1"/>
        <v>323.272800000038</v>
      </c>
      <c r="O2" s="2">
        <f>(H2*1000*J2*(8+0.3*200+8+0.06*1150+0.04*1300)+H2*10000)/10000</f>
        <v>252.47280000003</v>
      </c>
      <c r="P2" s="13">
        <f t="shared" si="2"/>
        <v>70.8000000000084</v>
      </c>
      <c r="Q2" s="31">
        <v>2017</v>
      </c>
      <c r="R2" s="2" t="s">
        <v>163</v>
      </c>
      <c r="S2" s="19" t="s">
        <v>123</v>
      </c>
    </row>
    <row r="3" ht="36" spans="1:19">
      <c r="A3">
        <v>30</v>
      </c>
      <c r="B3" s="2" t="s">
        <v>132</v>
      </c>
      <c r="C3" s="2" t="s">
        <v>132</v>
      </c>
      <c r="D3" s="2" t="s">
        <v>125</v>
      </c>
      <c r="E3" s="3"/>
      <c r="F3" s="4" t="s">
        <v>164</v>
      </c>
      <c r="G3" s="4" t="s">
        <v>165</v>
      </c>
      <c r="H3" s="5">
        <f t="shared" si="0"/>
        <v>0.734999999999673</v>
      </c>
      <c r="I3" s="12" t="s">
        <v>36</v>
      </c>
      <c r="J3" s="12">
        <v>9</v>
      </c>
      <c r="K3" s="12" t="s">
        <v>43</v>
      </c>
      <c r="L3" s="19" t="s">
        <v>22</v>
      </c>
      <c r="M3" s="19" t="s">
        <v>44</v>
      </c>
      <c r="N3" s="20">
        <f t="shared" si="1"/>
        <v>167.800499999925</v>
      </c>
      <c r="O3" s="2">
        <f>(H3*1000*J3*(8+0.3*200+8+0.06*1150+0.04*1300)+H3*10000)/10000</f>
        <v>131.050499999942</v>
      </c>
      <c r="P3" s="13">
        <f t="shared" si="2"/>
        <v>36.7499999999836</v>
      </c>
      <c r="Q3" s="31">
        <v>2017</v>
      </c>
      <c r="R3" s="2" t="s">
        <v>163</v>
      </c>
      <c r="S3" s="19" t="s">
        <v>123</v>
      </c>
    </row>
    <row r="4" ht="36" spans="1:19">
      <c r="A4">
        <v>31</v>
      </c>
      <c r="B4" s="2" t="s">
        <v>132</v>
      </c>
      <c r="C4" s="2" t="s">
        <v>132</v>
      </c>
      <c r="D4" s="2" t="s">
        <v>125</v>
      </c>
      <c r="E4" s="3"/>
      <c r="F4" s="4" t="s">
        <v>165</v>
      </c>
      <c r="G4" s="4">
        <v>2131.6</v>
      </c>
      <c r="H4" s="5">
        <f t="shared" si="0"/>
        <v>2.55400000000009</v>
      </c>
      <c r="I4" s="12" t="s">
        <v>36</v>
      </c>
      <c r="J4" s="12">
        <v>9</v>
      </c>
      <c r="K4" s="12" t="s">
        <v>43</v>
      </c>
      <c r="L4" s="19" t="s">
        <v>22</v>
      </c>
      <c r="M4" s="19" t="s">
        <v>44</v>
      </c>
      <c r="N4" s="20">
        <f t="shared" si="1"/>
        <v>583.07820000002</v>
      </c>
      <c r="O4" s="2">
        <f>(H4*1000*J4*(8+0.3*200+8+0.06*1150+0.04*1300)+H4*10000)/10000</f>
        <v>455.378200000016</v>
      </c>
      <c r="P4" s="13">
        <f t="shared" si="2"/>
        <v>127.700000000004</v>
      </c>
      <c r="Q4" s="31">
        <v>2017</v>
      </c>
      <c r="R4" s="2" t="s">
        <v>163</v>
      </c>
      <c r="S4" s="19" t="s">
        <v>123</v>
      </c>
    </row>
    <row r="5" s="1" customFormat="1" ht="36" spans="1:19">
      <c r="A5" s="1">
        <v>10</v>
      </c>
      <c r="B5" s="6" t="s">
        <v>132</v>
      </c>
      <c r="C5" s="6" t="s">
        <v>132</v>
      </c>
      <c r="D5" s="7" t="s">
        <v>125</v>
      </c>
      <c r="E5" s="7"/>
      <c r="F5" s="8">
        <v>2141.146</v>
      </c>
      <c r="G5" s="9">
        <v>2141.948</v>
      </c>
      <c r="H5" s="10">
        <f t="shared" si="0"/>
        <v>0.80199999999968</v>
      </c>
      <c r="I5" s="6" t="s">
        <v>36</v>
      </c>
      <c r="J5" s="21">
        <v>9</v>
      </c>
      <c r="K5" s="6" t="s">
        <v>126</v>
      </c>
      <c r="L5" s="6" t="s">
        <v>22</v>
      </c>
      <c r="M5" s="6" t="s">
        <v>44</v>
      </c>
      <c r="N5" s="22">
        <f t="shared" si="1"/>
        <v>183.096599999927</v>
      </c>
      <c r="O5" s="22">
        <v>142.996599999943</v>
      </c>
      <c r="P5" s="23">
        <f t="shared" si="2"/>
        <v>40.099999999984</v>
      </c>
      <c r="Q5" s="32">
        <v>2017</v>
      </c>
      <c r="R5" s="6" t="s">
        <v>139</v>
      </c>
      <c r="S5" s="6" t="s">
        <v>123</v>
      </c>
    </row>
    <row r="6" s="1" customFormat="1" ht="36" spans="1:19">
      <c r="A6" s="1">
        <v>9</v>
      </c>
      <c r="B6" s="6" t="s">
        <v>132</v>
      </c>
      <c r="C6" s="6" t="s">
        <v>132</v>
      </c>
      <c r="D6" s="7" t="s">
        <v>125</v>
      </c>
      <c r="E6" s="7"/>
      <c r="F6" s="9">
        <v>2255.674</v>
      </c>
      <c r="G6" s="9">
        <v>2262.4</v>
      </c>
      <c r="H6" s="11">
        <f t="shared" si="0"/>
        <v>6.72600000000011</v>
      </c>
      <c r="I6" s="9" t="s">
        <v>65</v>
      </c>
      <c r="J6" s="9">
        <v>17</v>
      </c>
      <c r="K6" s="6" t="s">
        <v>126</v>
      </c>
      <c r="L6" s="6" t="s">
        <v>22</v>
      </c>
      <c r="M6" s="6" t="s">
        <v>44</v>
      </c>
      <c r="N6" s="22">
        <f t="shared" si="1"/>
        <v>2595.56340000004</v>
      </c>
      <c r="O6" s="22">
        <v>2259.26340000004</v>
      </c>
      <c r="P6" s="23">
        <f t="shared" si="2"/>
        <v>336.300000000006</v>
      </c>
      <c r="Q6" s="32">
        <v>2017</v>
      </c>
      <c r="R6" s="6" t="s">
        <v>119</v>
      </c>
      <c r="S6" s="6" t="s">
        <v>123</v>
      </c>
    </row>
    <row r="7" ht="36" spans="1:19">
      <c r="A7">
        <v>4</v>
      </c>
      <c r="B7" s="2" t="s">
        <v>132</v>
      </c>
      <c r="C7" s="2" t="s">
        <v>132</v>
      </c>
      <c r="D7" s="2" t="s">
        <v>125</v>
      </c>
      <c r="E7" s="3"/>
      <c r="F7" s="4" t="s">
        <v>133</v>
      </c>
      <c r="G7" s="4" t="s">
        <v>134</v>
      </c>
      <c r="H7" s="5">
        <f t="shared" si="0"/>
        <v>3.08699999999999</v>
      </c>
      <c r="I7" s="12" t="s">
        <v>65</v>
      </c>
      <c r="J7" s="12">
        <v>17</v>
      </c>
      <c r="K7" s="12" t="s">
        <v>43</v>
      </c>
      <c r="L7" s="19" t="s">
        <v>22</v>
      </c>
      <c r="M7" s="19" t="s">
        <v>44</v>
      </c>
      <c r="N7" s="20">
        <f t="shared" si="1"/>
        <v>1192.8168</v>
      </c>
      <c r="O7" s="2">
        <f t="shared" ref="O7:O11" si="3">(H7*1000*J7*(8+0.3*200+8+0.06*1150+0.04*1300)+H7*15000)/10000</f>
        <v>1038.4668</v>
      </c>
      <c r="P7" s="13">
        <f t="shared" si="2"/>
        <v>154.349999999999</v>
      </c>
      <c r="Q7" s="33">
        <v>2017</v>
      </c>
      <c r="R7" s="19" t="s">
        <v>119</v>
      </c>
      <c r="S7" s="19" t="s">
        <v>123</v>
      </c>
    </row>
    <row r="8" ht="36" spans="1:19">
      <c r="A8">
        <v>5</v>
      </c>
      <c r="B8" s="2" t="s">
        <v>132</v>
      </c>
      <c r="C8" s="2" t="s">
        <v>132</v>
      </c>
      <c r="D8" s="2" t="s">
        <v>125</v>
      </c>
      <c r="E8" s="3"/>
      <c r="F8" s="4" t="s">
        <v>134</v>
      </c>
      <c r="G8" s="4" t="s">
        <v>135</v>
      </c>
      <c r="H8" s="5">
        <f t="shared" si="0"/>
        <v>1.53099999999995</v>
      </c>
      <c r="I8" s="12" t="s">
        <v>65</v>
      </c>
      <c r="J8" s="12">
        <v>17</v>
      </c>
      <c r="K8" s="12" t="s">
        <v>43</v>
      </c>
      <c r="L8" s="19" t="s">
        <v>22</v>
      </c>
      <c r="M8" s="19" t="s">
        <v>44</v>
      </c>
      <c r="N8" s="20">
        <f t="shared" si="1"/>
        <v>591.57839999998</v>
      </c>
      <c r="O8" s="2">
        <f t="shared" si="3"/>
        <v>515.028399999983</v>
      </c>
      <c r="P8" s="13">
        <f t="shared" si="2"/>
        <v>76.5499999999975</v>
      </c>
      <c r="Q8" s="33">
        <v>2017</v>
      </c>
      <c r="R8" s="19" t="s">
        <v>119</v>
      </c>
      <c r="S8" s="19" t="s">
        <v>123</v>
      </c>
    </row>
    <row r="9" ht="36" spans="1:19">
      <c r="A9">
        <v>6</v>
      </c>
      <c r="B9" s="2" t="s">
        <v>132</v>
      </c>
      <c r="C9" s="2" t="s">
        <v>132</v>
      </c>
      <c r="D9" s="2" t="s">
        <v>125</v>
      </c>
      <c r="E9" s="3"/>
      <c r="F9" s="4" t="s">
        <v>135</v>
      </c>
      <c r="G9" s="4" t="s">
        <v>136</v>
      </c>
      <c r="H9" s="5">
        <f t="shared" si="0"/>
        <v>5.18199999999979</v>
      </c>
      <c r="I9" s="12" t="s">
        <v>65</v>
      </c>
      <c r="J9" s="12">
        <v>17</v>
      </c>
      <c r="K9" s="12" t="s">
        <v>43</v>
      </c>
      <c r="L9" s="19" t="s">
        <v>22</v>
      </c>
      <c r="M9" s="19" t="s">
        <v>44</v>
      </c>
      <c r="N9" s="20">
        <f t="shared" si="1"/>
        <v>2002.32479999992</v>
      </c>
      <c r="O9" s="2">
        <f t="shared" si="3"/>
        <v>1743.22479999993</v>
      </c>
      <c r="P9" s="13">
        <f t="shared" si="2"/>
        <v>259.099999999989</v>
      </c>
      <c r="Q9" s="33">
        <v>2017</v>
      </c>
      <c r="R9" s="19" t="s">
        <v>119</v>
      </c>
      <c r="S9" s="19" t="s">
        <v>123</v>
      </c>
    </row>
    <row r="10" ht="36" spans="1:19">
      <c r="A10">
        <v>7</v>
      </c>
      <c r="B10" s="2" t="s">
        <v>132</v>
      </c>
      <c r="C10" s="2" t="s">
        <v>132</v>
      </c>
      <c r="D10" s="2" t="s">
        <v>125</v>
      </c>
      <c r="E10" s="3"/>
      <c r="F10" s="4" t="s">
        <v>136</v>
      </c>
      <c r="G10" s="4" t="s">
        <v>137</v>
      </c>
      <c r="H10" s="5">
        <f t="shared" si="0"/>
        <v>5.5</v>
      </c>
      <c r="I10" s="12" t="s">
        <v>65</v>
      </c>
      <c r="J10" s="12">
        <v>17</v>
      </c>
      <c r="K10" s="12" t="s">
        <v>43</v>
      </c>
      <c r="L10" s="19" t="s">
        <v>22</v>
      </c>
      <c r="M10" s="19" t="s">
        <v>44</v>
      </c>
      <c r="N10" s="20">
        <f t="shared" si="1"/>
        <v>2125.2</v>
      </c>
      <c r="O10" s="2">
        <f t="shared" si="3"/>
        <v>1850.2</v>
      </c>
      <c r="P10" s="13">
        <f t="shared" si="2"/>
        <v>275</v>
      </c>
      <c r="Q10" s="33">
        <v>2017</v>
      </c>
      <c r="R10" s="19" t="s">
        <v>119</v>
      </c>
      <c r="S10" s="19" t="s">
        <v>123</v>
      </c>
    </row>
    <row r="11" ht="36" spans="1:19">
      <c r="A11">
        <v>8</v>
      </c>
      <c r="B11" s="2" t="s">
        <v>132</v>
      </c>
      <c r="C11" s="2" t="s">
        <v>132</v>
      </c>
      <c r="D11" s="2" t="s">
        <v>125</v>
      </c>
      <c r="E11" s="3"/>
      <c r="F11" s="4" t="s">
        <v>137</v>
      </c>
      <c r="G11" s="4" t="s">
        <v>138</v>
      </c>
      <c r="H11" s="5">
        <f t="shared" si="0"/>
        <v>3.45000000000027</v>
      </c>
      <c r="I11" s="12" t="s">
        <v>65</v>
      </c>
      <c r="J11" s="12">
        <v>17</v>
      </c>
      <c r="K11" s="12" t="s">
        <v>43</v>
      </c>
      <c r="L11" s="19" t="s">
        <v>22</v>
      </c>
      <c r="M11" s="19" t="s">
        <v>44</v>
      </c>
      <c r="N11" s="20">
        <f t="shared" si="1"/>
        <v>1333.08000000011</v>
      </c>
      <c r="O11" s="2">
        <f t="shared" si="3"/>
        <v>1160.58000000009</v>
      </c>
      <c r="P11" s="13">
        <f t="shared" si="2"/>
        <v>172.500000000014</v>
      </c>
      <c r="Q11" s="33">
        <v>2017</v>
      </c>
      <c r="R11" s="19" t="s">
        <v>119</v>
      </c>
      <c r="S11" s="19" t="s">
        <v>123</v>
      </c>
    </row>
    <row r="12" ht="36" spans="1:19">
      <c r="A12">
        <v>15</v>
      </c>
      <c r="B12" s="12" t="s">
        <v>130</v>
      </c>
      <c r="C12" s="12" t="s">
        <v>130</v>
      </c>
      <c r="D12" s="2" t="s">
        <v>125</v>
      </c>
      <c r="E12" s="3"/>
      <c r="F12" s="4" t="s">
        <v>146</v>
      </c>
      <c r="G12" s="4">
        <v>1897</v>
      </c>
      <c r="H12" s="5">
        <f t="shared" si="0"/>
        <v>1.28500000000008</v>
      </c>
      <c r="I12" s="12" t="s">
        <v>36</v>
      </c>
      <c r="J12" s="12">
        <v>9</v>
      </c>
      <c r="K12" s="12" t="s">
        <v>43</v>
      </c>
      <c r="L12" s="19" t="s">
        <v>22</v>
      </c>
      <c r="M12" s="19" t="s">
        <v>44</v>
      </c>
      <c r="N12" s="20">
        <f t="shared" si="1"/>
        <v>293.365500000019</v>
      </c>
      <c r="O12" s="2">
        <f t="shared" ref="O12:O15" si="4">(H12*1000*J12*(8+0.3*200+8+0.06*1150+0.04*1300)+H12*10000)/10000</f>
        <v>229.115500000015</v>
      </c>
      <c r="P12" s="13">
        <f t="shared" si="2"/>
        <v>64.2500000000041</v>
      </c>
      <c r="Q12" s="33">
        <v>2017</v>
      </c>
      <c r="R12" s="2" t="s">
        <v>147</v>
      </c>
      <c r="S12" s="19" t="s">
        <v>123</v>
      </c>
    </row>
    <row r="13" ht="36" spans="1:19">
      <c r="A13">
        <v>16</v>
      </c>
      <c r="B13" s="12" t="s">
        <v>130</v>
      </c>
      <c r="C13" s="12" t="s">
        <v>130</v>
      </c>
      <c r="D13" s="2" t="s">
        <v>125</v>
      </c>
      <c r="E13" s="3"/>
      <c r="F13" s="4">
        <v>1899</v>
      </c>
      <c r="G13" s="4">
        <v>1906</v>
      </c>
      <c r="H13" s="5">
        <f t="shared" si="0"/>
        <v>7</v>
      </c>
      <c r="I13" s="12" t="s">
        <v>36</v>
      </c>
      <c r="J13" s="12">
        <v>9</v>
      </c>
      <c r="K13" s="12" t="s">
        <v>43</v>
      </c>
      <c r="L13" s="19" t="s">
        <v>22</v>
      </c>
      <c r="M13" s="19" t="s">
        <v>44</v>
      </c>
      <c r="N13" s="20">
        <f t="shared" si="1"/>
        <v>1598.1</v>
      </c>
      <c r="O13" s="2">
        <f t="shared" si="4"/>
        <v>1248.1</v>
      </c>
      <c r="P13" s="13">
        <f t="shared" si="2"/>
        <v>350</v>
      </c>
      <c r="Q13" s="33">
        <v>2017</v>
      </c>
      <c r="R13" s="2" t="s">
        <v>147</v>
      </c>
      <c r="S13" s="19" t="s">
        <v>123</v>
      </c>
    </row>
    <row r="14" ht="36" spans="1:19">
      <c r="A14">
        <v>17</v>
      </c>
      <c r="B14" s="12" t="s">
        <v>130</v>
      </c>
      <c r="C14" s="12" t="s">
        <v>130</v>
      </c>
      <c r="D14" s="2" t="s">
        <v>125</v>
      </c>
      <c r="E14" s="3"/>
      <c r="F14" s="4">
        <v>1908</v>
      </c>
      <c r="G14" s="4">
        <v>1913</v>
      </c>
      <c r="H14" s="5">
        <f t="shared" si="0"/>
        <v>5</v>
      </c>
      <c r="I14" s="12" t="s">
        <v>36</v>
      </c>
      <c r="J14" s="12">
        <v>9</v>
      </c>
      <c r="K14" s="12" t="s">
        <v>43</v>
      </c>
      <c r="L14" s="19" t="s">
        <v>22</v>
      </c>
      <c r="M14" s="19" t="s">
        <v>44</v>
      </c>
      <c r="N14" s="20">
        <f t="shared" si="1"/>
        <v>1141.5</v>
      </c>
      <c r="O14" s="2">
        <f t="shared" si="4"/>
        <v>891.5</v>
      </c>
      <c r="P14" s="13">
        <f t="shared" si="2"/>
        <v>250</v>
      </c>
      <c r="Q14" s="33">
        <v>2017</v>
      </c>
      <c r="R14" s="2" t="s">
        <v>147</v>
      </c>
      <c r="S14" s="19" t="s">
        <v>123</v>
      </c>
    </row>
    <row r="15" ht="36" spans="1:19">
      <c r="A15">
        <v>18</v>
      </c>
      <c r="B15" s="12" t="s">
        <v>130</v>
      </c>
      <c r="C15" s="12" t="s">
        <v>130</v>
      </c>
      <c r="D15" s="2" t="s">
        <v>125</v>
      </c>
      <c r="E15" s="3"/>
      <c r="F15" s="4" t="s">
        <v>148</v>
      </c>
      <c r="G15" s="4" t="s">
        <v>149</v>
      </c>
      <c r="H15" s="5">
        <f t="shared" si="0"/>
        <v>2</v>
      </c>
      <c r="I15" s="12" t="s">
        <v>36</v>
      </c>
      <c r="J15" s="12">
        <v>9</v>
      </c>
      <c r="K15" s="12" t="s">
        <v>43</v>
      </c>
      <c r="L15" s="19" t="s">
        <v>22</v>
      </c>
      <c r="M15" s="19" t="s">
        <v>44</v>
      </c>
      <c r="N15" s="20">
        <f t="shared" si="1"/>
        <v>456.6</v>
      </c>
      <c r="O15" s="2">
        <f t="shared" si="4"/>
        <v>356.6</v>
      </c>
      <c r="P15" s="13">
        <f t="shared" si="2"/>
        <v>100</v>
      </c>
      <c r="Q15" s="33">
        <v>2017</v>
      </c>
      <c r="R15" s="2" t="s">
        <v>147</v>
      </c>
      <c r="S15" s="19" t="s">
        <v>123</v>
      </c>
    </row>
    <row r="16" s="1" customFormat="1" ht="36" spans="1:19">
      <c r="A16" s="1">
        <v>3</v>
      </c>
      <c r="B16" s="6" t="s">
        <v>130</v>
      </c>
      <c r="C16" s="6" t="s">
        <v>130</v>
      </c>
      <c r="D16" s="7" t="s">
        <v>125</v>
      </c>
      <c r="E16" s="7"/>
      <c r="F16" s="8">
        <v>1948.731</v>
      </c>
      <c r="G16" s="8">
        <v>1949.54</v>
      </c>
      <c r="H16" s="10">
        <f t="shared" si="0"/>
        <v>0.808999999999969</v>
      </c>
      <c r="I16" s="6" t="s">
        <v>36</v>
      </c>
      <c r="J16" s="21">
        <v>12</v>
      </c>
      <c r="K16" s="6" t="s">
        <v>126</v>
      </c>
      <c r="L16" s="6" t="s">
        <v>22</v>
      </c>
      <c r="M16" s="6" t="s">
        <v>131</v>
      </c>
      <c r="N16" s="22">
        <f t="shared" si="1"/>
        <v>232.506599999991</v>
      </c>
      <c r="O16" s="22">
        <v>192.056599999993</v>
      </c>
      <c r="P16" s="23">
        <f t="shared" si="2"/>
        <v>40.4499999999985</v>
      </c>
      <c r="Q16" s="32">
        <v>2017</v>
      </c>
      <c r="R16" s="6" t="s">
        <v>45</v>
      </c>
      <c r="S16" s="6" t="s">
        <v>123</v>
      </c>
    </row>
    <row r="17" ht="48" spans="1:19">
      <c r="A17">
        <v>11</v>
      </c>
      <c r="B17" s="13" t="s">
        <v>140</v>
      </c>
      <c r="C17" s="13" t="s">
        <v>140</v>
      </c>
      <c r="D17" s="13" t="s">
        <v>125</v>
      </c>
      <c r="E17" s="3"/>
      <c r="F17" s="4">
        <v>496.7</v>
      </c>
      <c r="G17" s="4">
        <v>499.65</v>
      </c>
      <c r="H17" s="4">
        <f t="shared" si="0"/>
        <v>2.94999999999999</v>
      </c>
      <c r="I17" s="19" t="s">
        <v>36</v>
      </c>
      <c r="J17" s="24">
        <v>12</v>
      </c>
      <c r="K17" s="19" t="s">
        <v>86</v>
      </c>
      <c r="L17" s="2" t="s">
        <v>22</v>
      </c>
      <c r="M17" s="19" t="s">
        <v>141</v>
      </c>
      <c r="N17" s="13">
        <f t="shared" si="1"/>
        <v>819.509999999997</v>
      </c>
      <c r="O17" s="13">
        <f>(H17*1000*J17*(0.3*200+8+0.06*1150+0.04*1300)+H17*10000)/10000</f>
        <v>672.009999999997</v>
      </c>
      <c r="P17" s="13">
        <f t="shared" si="2"/>
        <v>147.499999999999</v>
      </c>
      <c r="Q17" s="2">
        <v>2017</v>
      </c>
      <c r="R17" s="19" t="s">
        <v>67</v>
      </c>
      <c r="S17" s="2" t="s">
        <v>142</v>
      </c>
    </row>
    <row r="18" s="1" customFormat="1" ht="24" spans="1:19">
      <c r="A18" s="1">
        <v>32</v>
      </c>
      <c r="B18" s="6" t="s">
        <v>140</v>
      </c>
      <c r="C18" s="6" t="s">
        <v>140</v>
      </c>
      <c r="D18" s="7" t="s">
        <v>125</v>
      </c>
      <c r="E18" s="7"/>
      <c r="F18" s="8">
        <v>519.55</v>
      </c>
      <c r="G18" s="8">
        <v>519.84</v>
      </c>
      <c r="H18" s="10">
        <f t="shared" si="0"/>
        <v>0.290000000000077</v>
      </c>
      <c r="I18" s="6" t="s">
        <v>36</v>
      </c>
      <c r="J18" s="21">
        <v>9</v>
      </c>
      <c r="K18" s="6" t="s">
        <v>110</v>
      </c>
      <c r="L18" s="6" t="s">
        <v>22</v>
      </c>
      <c r="M18" s="6" t="s">
        <v>166</v>
      </c>
      <c r="N18" s="22">
        <f t="shared" si="1"/>
        <v>65.6850000000175</v>
      </c>
      <c r="O18" s="22">
        <v>51.1850000000136</v>
      </c>
      <c r="P18" s="23">
        <f t="shared" si="2"/>
        <v>14.5000000000039</v>
      </c>
      <c r="Q18" s="32">
        <v>2017</v>
      </c>
      <c r="R18" s="6" t="s">
        <v>93</v>
      </c>
      <c r="S18" s="6" t="s">
        <v>123</v>
      </c>
    </row>
    <row r="19" ht="36" spans="1:19">
      <c r="A19">
        <v>22</v>
      </c>
      <c r="B19" s="12" t="s">
        <v>140</v>
      </c>
      <c r="C19" s="12" t="s">
        <v>140</v>
      </c>
      <c r="D19" s="2" t="s">
        <v>125</v>
      </c>
      <c r="E19" s="3"/>
      <c r="F19" s="4">
        <v>562</v>
      </c>
      <c r="G19" s="4" t="s">
        <v>155</v>
      </c>
      <c r="H19" s="5">
        <f t="shared" si="0"/>
        <v>4.16200000000003</v>
      </c>
      <c r="I19" s="12" t="s">
        <v>36</v>
      </c>
      <c r="J19" s="12">
        <v>9</v>
      </c>
      <c r="K19" s="12" t="s">
        <v>43</v>
      </c>
      <c r="L19" s="19" t="s">
        <v>22</v>
      </c>
      <c r="M19" s="18" t="s">
        <v>44</v>
      </c>
      <c r="N19" s="20">
        <f t="shared" si="1"/>
        <v>950.184600000008</v>
      </c>
      <c r="O19" s="2">
        <f>(H19*1000*J19*(8+0.3*200+8+0.06*1150+0.04*1300)+H19*10000)/10000</f>
        <v>742.084600000006</v>
      </c>
      <c r="P19" s="13">
        <f t="shared" si="2"/>
        <v>208.100000000002</v>
      </c>
      <c r="Q19" s="33">
        <v>2017</v>
      </c>
      <c r="R19" s="34" t="s">
        <v>73</v>
      </c>
      <c r="S19" s="19" t="s">
        <v>123</v>
      </c>
    </row>
    <row r="20" ht="36" spans="1:19">
      <c r="A20">
        <v>23</v>
      </c>
      <c r="B20" s="12" t="s">
        <v>140</v>
      </c>
      <c r="C20" s="12" t="s">
        <v>140</v>
      </c>
      <c r="D20" s="2" t="s">
        <v>125</v>
      </c>
      <c r="E20" s="3"/>
      <c r="F20" s="4">
        <v>590</v>
      </c>
      <c r="G20" s="4">
        <v>593</v>
      </c>
      <c r="H20" s="5">
        <f t="shared" si="0"/>
        <v>3</v>
      </c>
      <c r="I20" s="12" t="s">
        <v>36</v>
      </c>
      <c r="J20" s="12">
        <v>9</v>
      </c>
      <c r="K20" s="12" t="s">
        <v>43</v>
      </c>
      <c r="L20" s="19" t="s">
        <v>22</v>
      </c>
      <c r="M20" s="19" t="s">
        <v>44</v>
      </c>
      <c r="N20" s="20">
        <f t="shared" si="1"/>
        <v>684.9</v>
      </c>
      <c r="O20" s="2">
        <f>(H20*1000*J20*(8+0.3*200+8+0.06*1150+0.04*1300)+H20*10000)/10000</f>
        <v>534.9</v>
      </c>
      <c r="P20" s="13">
        <f t="shared" si="2"/>
        <v>150</v>
      </c>
      <c r="Q20" s="33">
        <v>2017</v>
      </c>
      <c r="R20" s="34" t="s">
        <v>73</v>
      </c>
      <c r="S20" s="19" t="s">
        <v>123</v>
      </c>
    </row>
    <row r="21" s="1" customFormat="1" ht="24" spans="1:19">
      <c r="A21" s="1">
        <v>33</v>
      </c>
      <c r="B21" s="6" t="s">
        <v>124</v>
      </c>
      <c r="C21" s="6" t="s">
        <v>124</v>
      </c>
      <c r="D21" s="7" t="s">
        <v>125</v>
      </c>
      <c r="E21" s="7"/>
      <c r="F21" s="8">
        <v>64</v>
      </c>
      <c r="G21" s="8">
        <v>65.2</v>
      </c>
      <c r="H21" s="10">
        <f t="shared" si="0"/>
        <v>1.2</v>
      </c>
      <c r="I21" s="6" t="s">
        <v>36</v>
      </c>
      <c r="J21" s="21">
        <v>9</v>
      </c>
      <c r="K21" s="6" t="s">
        <v>110</v>
      </c>
      <c r="L21" s="6" t="s">
        <v>22</v>
      </c>
      <c r="M21" s="6" t="s">
        <v>167</v>
      </c>
      <c r="N21" s="22">
        <f t="shared" si="1"/>
        <v>246.42</v>
      </c>
      <c r="O21" s="22">
        <v>186.42</v>
      </c>
      <c r="P21" s="23">
        <f t="shared" si="2"/>
        <v>60.0000000000001</v>
      </c>
      <c r="Q21" s="32">
        <v>2017</v>
      </c>
      <c r="R21" s="35" t="s">
        <v>93</v>
      </c>
      <c r="S21" s="6" t="s">
        <v>123</v>
      </c>
    </row>
    <row r="22" s="1" customFormat="1" ht="36" spans="1:19">
      <c r="A22" s="1">
        <v>34</v>
      </c>
      <c r="B22" s="6" t="s">
        <v>124</v>
      </c>
      <c r="C22" s="6" t="s">
        <v>124</v>
      </c>
      <c r="D22" s="7" t="s">
        <v>125</v>
      </c>
      <c r="E22" s="7"/>
      <c r="F22" s="8">
        <v>84.1</v>
      </c>
      <c r="G22" s="8">
        <v>88</v>
      </c>
      <c r="H22" s="10">
        <f t="shared" si="0"/>
        <v>3.90000000000001</v>
      </c>
      <c r="I22" s="6" t="s">
        <v>36</v>
      </c>
      <c r="J22" s="21">
        <v>12</v>
      </c>
      <c r="K22" s="6" t="s">
        <v>126</v>
      </c>
      <c r="L22" s="6" t="s">
        <v>22</v>
      </c>
      <c r="M22" s="25" t="s">
        <v>168</v>
      </c>
      <c r="N22" s="22">
        <f t="shared" si="1"/>
        <v>1148.94</v>
      </c>
      <c r="O22" s="22">
        <v>953.940000000001</v>
      </c>
      <c r="P22" s="23">
        <f t="shared" si="2"/>
        <v>195</v>
      </c>
      <c r="Q22" s="32">
        <v>2017</v>
      </c>
      <c r="R22" s="35" t="s">
        <v>93</v>
      </c>
      <c r="S22" s="6" t="s">
        <v>123</v>
      </c>
    </row>
    <row r="23" s="1" customFormat="1" ht="24" spans="1:19">
      <c r="A23" s="1" t="s">
        <v>209</v>
      </c>
      <c r="B23" s="6" t="s">
        <v>124</v>
      </c>
      <c r="C23" s="6" t="s">
        <v>124</v>
      </c>
      <c r="D23" s="7" t="s">
        <v>125</v>
      </c>
      <c r="E23" s="7"/>
      <c r="F23" s="8">
        <v>114.2</v>
      </c>
      <c r="G23" s="8">
        <v>116</v>
      </c>
      <c r="H23" s="10">
        <f t="shared" si="0"/>
        <v>1.8</v>
      </c>
      <c r="I23" s="6" t="s">
        <v>36</v>
      </c>
      <c r="J23" s="21">
        <v>12</v>
      </c>
      <c r="K23" s="6" t="s">
        <v>110</v>
      </c>
      <c r="L23" s="6" t="s">
        <v>22</v>
      </c>
      <c r="M23" s="25" t="s">
        <v>37</v>
      </c>
      <c r="N23" s="22">
        <f t="shared" si="1"/>
        <v>500.039999999999</v>
      </c>
      <c r="O23" s="22">
        <v>410.039999999999</v>
      </c>
      <c r="P23" s="23">
        <f t="shared" si="2"/>
        <v>89.9999999999999</v>
      </c>
      <c r="Q23" s="32">
        <v>2017</v>
      </c>
      <c r="R23" s="35" t="s">
        <v>61</v>
      </c>
      <c r="S23" s="36" t="s">
        <v>129</v>
      </c>
    </row>
    <row r="24" s="1" customFormat="1" ht="36" spans="1:19">
      <c r="A24" s="1" t="s">
        <v>210</v>
      </c>
      <c r="B24" s="6" t="s">
        <v>124</v>
      </c>
      <c r="C24" s="6" t="s">
        <v>124</v>
      </c>
      <c r="D24" s="7" t="s">
        <v>125</v>
      </c>
      <c r="E24" s="7"/>
      <c r="F24" s="8">
        <v>194</v>
      </c>
      <c r="G24" s="8">
        <v>198.946</v>
      </c>
      <c r="H24" s="10">
        <f t="shared" si="0"/>
        <v>4.946</v>
      </c>
      <c r="I24" s="6" t="s">
        <v>36</v>
      </c>
      <c r="J24" s="21">
        <v>9</v>
      </c>
      <c r="K24" s="6" t="s">
        <v>126</v>
      </c>
      <c r="L24" s="6" t="s">
        <v>22</v>
      </c>
      <c r="M24" s="25" t="s">
        <v>127</v>
      </c>
      <c r="N24" s="22">
        <f t="shared" si="1"/>
        <v>1129.1718</v>
      </c>
      <c r="O24" s="22">
        <v>881.8718</v>
      </c>
      <c r="P24" s="23">
        <f t="shared" si="2"/>
        <v>247.3</v>
      </c>
      <c r="Q24" s="32">
        <v>2017</v>
      </c>
      <c r="R24" s="35" t="s">
        <v>128</v>
      </c>
      <c r="S24" s="6" t="s">
        <v>123</v>
      </c>
    </row>
    <row r="25" s="1" customFormat="1" ht="36" spans="1:19">
      <c r="A25" s="1" t="s">
        <v>211</v>
      </c>
      <c r="B25" s="6" t="s">
        <v>124</v>
      </c>
      <c r="C25" s="6" t="s">
        <v>124</v>
      </c>
      <c r="D25" s="7" t="s">
        <v>125</v>
      </c>
      <c r="E25" s="7"/>
      <c r="F25" s="8">
        <v>200.489</v>
      </c>
      <c r="G25" s="8">
        <v>214.5</v>
      </c>
      <c r="H25" s="10">
        <f t="shared" si="0"/>
        <v>14.011</v>
      </c>
      <c r="I25" s="6" t="s">
        <v>36</v>
      </c>
      <c r="J25" s="21">
        <v>9</v>
      </c>
      <c r="K25" s="6" t="s">
        <v>126</v>
      </c>
      <c r="L25" s="6" t="s">
        <v>22</v>
      </c>
      <c r="M25" s="25" t="s">
        <v>127</v>
      </c>
      <c r="N25" s="22">
        <f t="shared" si="1"/>
        <v>3198.7113</v>
      </c>
      <c r="O25" s="22">
        <v>2498.1613</v>
      </c>
      <c r="P25" s="23">
        <f t="shared" si="2"/>
        <v>700.55</v>
      </c>
      <c r="Q25" s="32">
        <v>2017</v>
      </c>
      <c r="R25" s="35" t="s">
        <v>128</v>
      </c>
      <c r="S25" s="6" t="s">
        <v>123</v>
      </c>
    </row>
    <row r="26" s="1" customFormat="1" ht="36" spans="1:19">
      <c r="A26" s="1">
        <v>14</v>
      </c>
      <c r="B26" s="6" t="s">
        <v>62</v>
      </c>
      <c r="C26" s="6" t="s">
        <v>63</v>
      </c>
      <c r="D26" s="7" t="s">
        <v>26</v>
      </c>
      <c r="E26" s="7"/>
      <c r="F26" s="8">
        <v>20</v>
      </c>
      <c r="G26" s="8">
        <v>23</v>
      </c>
      <c r="H26" s="10">
        <f t="shared" si="0"/>
        <v>3</v>
      </c>
      <c r="I26" s="6" t="s">
        <v>65</v>
      </c>
      <c r="J26" s="21">
        <v>15</v>
      </c>
      <c r="K26" s="6" t="s">
        <v>126</v>
      </c>
      <c r="L26" s="6" t="s">
        <v>22</v>
      </c>
      <c r="M26" s="25" t="s">
        <v>66</v>
      </c>
      <c r="N26" s="22">
        <f t="shared" si="1"/>
        <v>1203</v>
      </c>
      <c r="O26" s="22">
        <v>1053</v>
      </c>
      <c r="P26" s="23">
        <f t="shared" si="2"/>
        <v>150</v>
      </c>
      <c r="Q26" s="32">
        <v>2017</v>
      </c>
      <c r="R26" s="35" t="s">
        <v>67</v>
      </c>
      <c r="S26" s="6" t="s">
        <v>123</v>
      </c>
    </row>
    <row r="27" s="1" customFormat="1" ht="36" spans="1:19">
      <c r="A27" s="1">
        <v>12</v>
      </c>
      <c r="B27" s="6" t="s">
        <v>143</v>
      </c>
      <c r="C27" s="6" t="s">
        <v>34</v>
      </c>
      <c r="D27" s="7" t="s">
        <v>26</v>
      </c>
      <c r="E27" s="7"/>
      <c r="F27" s="14">
        <v>98.883</v>
      </c>
      <c r="G27" s="14">
        <v>105</v>
      </c>
      <c r="H27" s="8">
        <v>6.117</v>
      </c>
      <c r="I27" s="6" t="s">
        <v>36</v>
      </c>
      <c r="J27" s="6">
        <v>9</v>
      </c>
      <c r="K27" s="6" t="s">
        <v>29</v>
      </c>
      <c r="L27" s="6" t="s">
        <v>144</v>
      </c>
      <c r="M27" s="25" t="s">
        <v>145</v>
      </c>
      <c r="N27" s="26">
        <v>1363.326375</v>
      </c>
      <c r="O27" s="26">
        <f>H27*J27*0.1*(0.34*200+0.06*1150+0.04*1300+8)+H27*1</f>
        <v>1090.6611</v>
      </c>
      <c r="P27" s="27">
        <f>N27-O27</f>
        <v>272.665275</v>
      </c>
      <c r="Q27" s="37">
        <v>2017</v>
      </c>
      <c r="R27" s="35" t="s">
        <v>67</v>
      </c>
      <c r="S27" s="36" t="s">
        <v>129</v>
      </c>
    </row>
    <row r="28" s="1" customFormat="1" ht="24" spans="1:19">
      <c r="A28" s="1">
        <v>13</v>
      </c>
      <c r="B28" s="6" t="s">
        <v>143</v>
      </c>
      <c r="C28" s="6" t="s">
        <v>34</v>
      </c>
      <c r="D28" s="7" t="s">
        <v>26</v>
      </c>
      <c r="E28" s="7"/>
      <c r="F28" s="8">
        <v>110.2</v>
      </c>
      <c r="G28" s="8">
        <v>113.838</v>
      </c>
      <c r="H28" s="10">
        <f t="shared" ref="H28:H38" si="5">G28-F28</f>
        <v>3.63799999999999</v>
      </c>
      <c r="I28" s="6" t="s">
        <v>36</v>
      </c>
      <c r="J28" s="21">
        <v>9</v>
      </c>
      <c r="K28" s="6" t="s">
        <v>110</v>
      </c>
      <c r="L28" s="6" t="s">
        <v>22</v>
      </c>
      <c r="M28" s="25" t="s">
        <v>122</v>
      </c>
      <c r="N28" s="22">
        <f t="shared" ref="N28:N32" si="6">O28+P28</f>
        <v>804.361799999998</v>
      </c>
      <c r="O28" s="22">
        <v>622.461799999999</v>
      </c>
      <c r="P28" s="23">
        <f t="shared" ref="P28:P38" si="7">50*H28</f>
        <v>181.9</v>
      </c>
      <c r="Q28" s="32">
        <v>2017</v>
      </c>
      <c r="R28" s="35" t="s">
        <v>67</v>
      </c>
      <c r="S28" s="6" t="s">
        <v>123</v>
      </c>
    </row>
    <row r="29" s="1" customFormat="1" ht="24" spans="1:19">
      <c r="A29" s="1">
        <v>25</v>
      </c>
      <c r="B29" s="6" t="s">
        <v>143</v>
      </c>
      <c r="C29" s="6" t="s">
        <v>34</v>
      </c>
      <c r="D29" s="7" t="s">
        <v>26</v>
      </c>
      <c r="E29" s="7"/>
      <c r="F29" s="8">
        <v>113.838</v>
      </c>
      <c r="G29" s="8">
        <v>119.307</v>
      </c>
      <c r="H29" s="10">
        <f t="shared" si="5"/>
        <v>5.46900000000001</v>
      </c>
      <c r="I29" s="6" t="s">
        <v>36</v>
      </c>
      <c r="J29" s="21">
        <v>9</v>
      </c>
      <c r="K29" s="6" t="s">
        <v>110</v>
      </c>
      <c r="L29" s="6" t="s">
        <v>22</v>
      </c>
      <c r="M29" s="25" t="s">
        <v>159</v>
      </c>
      <c r="N29" s="22">
        <f t="shared" si="6"/>
        <v>899.103600000001</v>
      </c>
      <c r="O29" s="22">
        <v>625.653600000001</v>
      </c>
      <c r="P29" s="23">
        <f t="shared" si="7"/>
        <v>273.45</v>
      </c>
      <c r="Q29" s="32">
        <v>2017</v>
      </c>
      <c r="R29" s="35" t="s">
        <v>73</v>
      </c>
      <c r="S29" s="6" t="s">
        <v>123</v>
      </c>
    </row>
    <row r="30" s="1" customFormat="1" ht="24" spans="1:19">
      <c r="A30" s="1">
        <v>26</v>
      </c>
      <c r="B30" s="6" t="s">
        <v>143</v>
      </c>
      <c r="C30" s="6" t="s">
        <v>34</v>
      </c>
      <c r="D30" s="7" t="s">
        <v>26</v>
      </c>
      <c r="E30" s="7"/>
      <c r="F30" s="8">
        <v>119.307</v>
      </c>
      <c r="G30" s="8">
        <v>120.8</v>
      </c>
      <c r="H30" s="10">
        <f t="shared" si="5"/>
        <v>1.49299999999999</v>
      </c>
      <c r="I30" s="6" t="s">
        <v>36</v>
      </c>
      <c r="J30" s="21">
        <v>9</v>
      </c>
      <c r="K30" s="6" t="s">
        <v>126</v>
      </c>
      <c r="L30" s="6" t="s">
        <v>22</v>
      </c>
      <c r="M30" s="6" t="s">
        <v>160</v>
      </c>
      <c r="N30" s="22">
        <f t="shared" si="6"/>
        <v>256.198799999999</v>
      </c>
      <c r="O30" s="22">
        <v>181.548799999999</v>
      </c>
      <c r="P30" s="23">
        <f t="shared" si="7"/>
        <v>74.6499999999997</v>
      </c>
      <c r="Q30" s="32">
        <v>2017</v>
      </c>
      <c r="R30" s="35" t="s">
        <v>73</v>
      </c>
      <c r="S30" s="6" t="s">
        <v>123</v>
      </c>
    </row>
    <row r="31" s="1" customFormat="1" ht="24" spans="1:19">
      <c r="A31" s="1">
        <v>27</v>
      </c>
      <c r="B31" s="6" t="s">
        <v>143</v>
      </c>
      <c r="C31" s="6" t="s">
        <v>34</v>
      </c>
      <c r="D31" s="7" t="s">
        <v>26</v>
      </c>
      <c r="E31" s="7"/>
      <c r="F31" s="8">
        <v>120.8</v>
      </c>
      <c r="G31" s="8">
        <v>123.5</v>
      </c>
      <c r="H31" s="10">
        <f t="shared" si="5"/>
        <v>2.7</v>
      </c>
      <c r="I31" s="6" t="s">
        <v>36</v>
      </c>
      <c r="J31" s="21">
        <v>9</v>
      </c>
      <c r="K31" s="6" t="s">
        <v>110</v>
      </c>
      <c r="L31" s="6" t="s">
        <v>22</v>
      </c>
      <c r="M31" s="6" t="s">
        <v>159</v>
      </c>
      <c r="N31" s="22">
        <f t="shared" si="6"/>
        <v>443.88</v>
      </c>
      <c r="O31" s="22">
        <v>308.88</v>
      </c>
      <c r="P31" s="23">
        <f t="shared" si="7"/>
        <v>135</v>
      </c>
      <c r="Q31" s="32">
        <v>2017</v>
      </c>
      <c r="R31" s="35" t="s">
        <v>73</v>
      </c>
      <c r="S31" s="6" t="s">
        <v>123</v>
      </c>
    </row>
    <row r="32" s="1" customFormat="1" ht="24" spans="1:19">
      <c r="A32" s="1" t="s">
        <v>212</v>
      </c>
      <c r="B32" s="6" t="s">
        <v>40</v>
      </c>
      <c r="C32" s="6" t="s">
        <v>46</v>
      </c>
      <c r="D32" s="7" t="s">
        <v>26</v>
      </c>
      <c r="E32" s="7"/>
      <c r="F32" s="8">
        <v>112.4</v>
      </c>
      <c r="G32" s="8">
        <v>113</v>
      </c>
      <c r="H32" s="10">
        <f t="shared" si="5"/>
        <v>0.599999999999994</v>
      </c>
      <c r="I32" s="6" t="s">
        <v>28</v>
      </c>
      <c r="J32" s="21">
        <v>7</v>
      </c>
      <c r="K32" s="6" t="s">
        <v>110</v>
      </c>
      <c r="L32" s="6" t="s">
        <v>22</v>
      </c>
      <c r="M32" s="25" t="s">
        <v>122</v>
      </c>
      <c r="N32" s="22">
        <f t="shared" si="6"/>
        <v>88.1399999999992</v>
      </c>
      <c r="O32" s="22">
        <v>58.1399999999994</v>
      </c>
      <c r="P32" s="23">
        <f t="shared" si="7"/>
        <v>29.9999999999997</v>
      </c>
      <c r="Q32" s="32">
        <v>2017</v>
      </c>
      <c r="R32" s="35" t="s">
        <v>31</v>
      </c>
      <c r="S32" s="6" t="s">
        <v>123</v>
      </c>
    </row>
    <row r="33" ht="24" spans="1:19">
      <c r="A33">
        <v>20</v>
      </c>
      <c r="B33" s="12" t="s">
        <v>49</v>
      </c>
      <c r="C33" s="15" t="s">
        <v>153</v>
      </c>
      <c r="D33" s="15" t="s">
        <v>54</v>
      </c>
      <c r="E33" s="3"/>
      <c r="F33" s="16">
        <v>0.267</v>
      </c>
      <c r="G33" s="16">
        <v>0.755</v>
      </c>
      <c r="H33" s="17">
        <f t="shared" si="5"/>
        <v>0.488</v>
      </c>
      <c r="I33" s="12" t="s">
        <v>28</v>
      </c>
      <c r="J33" s="28">
        <v>7</v>
      </c>
      <c r="K33" s="28" t="s">
        <v>91</v>
      </c>
      <c r="L33" s="28" t="s">
        <v>22</v>
      </c>
      <c r="M33" s="18" t="s">
        <v>152</v>
      </c>
      <c r="N33" s="20">
        <f t="shared" ref="N33:N36" si="8">P33+O33</f>
        <v>67.588</v>
      </c>
      <c r="O33" s="13">
        <f t="shared" ref="O33:O35" si="9">(H33*1000*J33*(8+0.2*200+8+0.06*1150)+H33*10000)/10000</f>
        <v>43.188</v>
      </c>
      <c r="P33" s="13">
        <f t="shared" si="7"/>
        <v>24.4</v>
      </c>
      <c r="Q33" s="33">
        <v>2017</v>
      </c>
      <c r="R33" s="34" t="s">
        <v>48</v>
      </c>
      <c r="S33" s="19" t="s">
        <v>123</v>
      </c>
    </row>
    <row r="34" ht="24" spans="1:19">
      <c r="A34">
        <v>21</v>
      </c>
      <c r="B34" s="12" t="s">
        <v>49</v>
      </c>
      <c r="C34" s="15" t="s">
        <v>154</v>
      </c>
      <c r="D34" s="15" t="s">
        <v>54</v>
      </c>
      <c r="E34" s="3"/>
      <c r="F34" s="16">
        <v>8</v>
      </c>
      <c r="G34" s="16">
        <v>8.822</v>
      </c>
      <c r="H34" s="17">
        <f t="shared" si="5"/>
        <v>0.821999999999999</v>
      </c>
      <c r="I34" s="12" t="s">
        <v>28</v>
      </c>
      <c r="J34" s="28">
        <v>6</v>
      </c>
      <c r="K34" s="28" t="s">
        <v>91</v>
      </c>
      <c r="L34" s="28" t="s">
        <v>22</v>
      </c>
      <c r="M34" s="18" t="s">
        <v>152</v>
      </c>
      <c r="N34" s="20">
        <f t="shared" si="8"/>
        <v>103.572</v>
      </c>
      <c r="O34" s="13">
        <f t="shared" si="9"/>
        <v>62.4719999999999</v>
      </c>
      <c r="P34" s="13">
        <f t="shared" si="7"/>
        <v>41.1</v>
      </c>
      <c r="Q34" s="33">
        <v>2017</v>
      </c>
      <c r="R34" s="34" t="s">
        <v>48</v>
      </c>
      <c r="S34" s="19" t="s">
        <v>123</v>
      </c>
    </row>
    <row r="35" ht="24" spans="1:19">
      <c r="A35">
        <v>19</v>
      </c>
      <c r="B35" s="12" t="s">
        <v>150</v>
      </c>
      <c r="C35" s="15" t="s">
        <v>151</v>
      </c>
      <c r="D35" s="15" t="s">
        <v>54</v>
      </c>
      <c r="E35" s="3"/>
      <c r="F35" s="16">
        <v>1</v>
      </c>
      <c r="G35" s="16">
        <v>3</v>
      </c>
      <c r="H35" s="17">
        <f t="shared" si="5"/>
        <v>2</v>
      </c>
      <c r="I35" s="12" t="s">
        <v>28</v>
      </c>
      <c r="J35" s="28">
        <v>7</v>
      </c>
      <c r="K35" s="28" t="s">
        <v>91</v>
      </c>
      <c r="L35" s="28" t="s">
        <v>22</v>
      </c>
      <c r="M35" s="19" t="s">
        <v>152</v>
      </c>
      <c r="N35" s="20">
        <f t="shared" si="8"/>
        <v>277</v>
      </c>
      <c r="O35" s="13">
        <f t="shared" si="9"/>
        <v>177</v>
      </c>
      <c r="P35" s="13">
        <f t="shared" si="7"/>
        <v>100</v>
      </c>
      <c r="Q35" s="33">
        <v>2017</v>
      </c>
      <c r="R35" s="2" t="s">
        <v>48</v>
      </c>
      <c r="S35" s="19" t="s">
        <v>123</v>
      </c>
    </row>
    <row r="36" spans="1:19">
      <c r="A36">
        <v>24</v>
      </c>
      <c r="B36" s="12" t="s">
        <v>156</v>
      </c>
      <c r="C36" s="15" t="s">
        <v>157</v>
      </c>
      <c r="D36" s="15" t="s">
        <v>54</v>
      </c>
      <c r="E36" s="3"/>
      <c r="F36" s="16">
        <v>33.289</v>
      </c>
      <c r="G36" s="16">
        <v>42.888</v>
      </c>
      <c r="H36" s="17">
        <f t="shared" si="5"/>
        <v>9.599</v>
      </c>
      <c r="I36" s="12" t="s">
        <v>28</v>
      </c>
      <c r="J36" s="28">
        <v>7</v>
      </c>
      <c r="K36" s="28" t="s">
        <v>86</v>
      </c>
      <c r="L36" s="29" t="s">
        <v>22</v>
      </c>
      <c r="M36" s="30" t="s">
        <v>158</v>
      </c>
      <c r="N36" s="20">
        <f t="shared" si="8"/>
        <v>1275.7071</v>
      </c>
      <c r="O36" s="13">
        <f>(H36*1000*J36*(0.2*200+8+0.06*1150)+H36*10000)/10000</f>
        <v>795.7571</v>
      </c>
      <c r="P36" s="13">
        <f t="shared" si="7"/>
        <v>479.95</v>
      </c>
      <c r="Q36" s="33">
        <v>2017</v>
      </c>
      <c r="R36" s="2" t="s">
        <v>73</v>
      </c>
      <c r="S36" s="19" t="s">
        <v>123</v>
      </c>
    </row>
    <row r="37" s="1" customFormat="1" ht="24" spans="1:19">
      <c r="A37" s="1">
        <v>1</v>
      </c>
      <c r="B37" s="6" t="s">
        <v>102</v>
      </c>
      <c r="C37" s="6" t="s">
        <v>103</v>
      </c>
      <c r="D37" s="7" t="s">
        <v>54</v>
      </c>
      <c r="E37" s="7"/>
      <c r="F37" s="8">
        <v>24.809</v>
      </c>
      <c r="G37" s="8">
        <v>28.8</v>
      </c>
      <c r="H37" s="10">
        <f t="shared" si="5"/>
        <v>3.991</v>
      </c>
      <c r="I37" s="6" t="s">
        <v>28</v>
      </c>
      <c r="J37" s="21">
        <v>8</v>
      </c>
      <c r="K37" s="6" t="s">
        <v>110</v>
      </c>
      <c r="L37" s="25" t="s">
        <v>22</v>
      </c>
      <c r="M37" s="6" t="s">
        <v>72</v>
      </c>
      <c r="N37" s="22">
        <f>O37+P37</f>
        <v>640.9546</v>
      </c>
      <c r="O37" s="22">
        <v>441.4046</v>
      </c>
      <c r="P37" s="23">
        <f t="shared" si="7"/>
        <v>199.55</v>
      </c>
      <c r="Q37" s="32">
        <v>2017</v>
      </c>
      <c r="R37" s="6" t="s">
        <v>61</v>
      </c>
      <c r="S37" s="6" t="s">
        <v>123</v>
      </c>
    </row>
    <row r="38" s="1" customFormat="1" ht="24" spans="1:19">
      <c r="A38" s="1">
        <v>2</v>
      </c>
      <c r="B38" s="6" t="s">
        <v>102</v>
      </c>
      <c r="C38" s="6" t="s">
        <v>103</v>
      </c>
      <c r="D38" s="7" t="s">
        <v>54</v>
      </c>
      <c r="E38" s="7"/>
      <c r="F38" s="8">
        <v>38.3</v>
      </c>
      <c r="G38" s="8">
        <v>39.781</v>
      </c>
      <c r="H38" s="10">
        <f t="shared" si="5"/>
        <v>1.481</v>
      </c>
      <c r="I38" s="6" t="s">
        <v>28</v>
      </c>
      <c r="J38" s="21">
        <v>8</v>
      </c>
      <c r="K38" s="6" t="s">
        <v>110</v>
      </c>
      <c r="L38" s="25" t="s">
        <v>22</v>
      </c>
      <c r="M38" s="6" t="s">
        <v>72</v>
      </c>
      <c r="N38" s="22">
        <f>O38+P38</f>
        <v>237.8486</v>
      </c>
      <c r="O38" s="22">
        <v>163.7986</v>
      </c>
      <c r="P38" s="23">
        <f t="shared" si="7"/>
        <v>74.0500000000001</v>
      </c>
      <c r="Q38" s="32">
        <v>2017</v>
      </c>
      <c r="R38" s="6" t="s">
        <v>61</v>
      </c>
      <c r="S38" s="6" t="s">
        <v>123</v>
      </c>
    </row>
  </sheetData>
  <sortState ref="A1:S38">
    <sortCondition ref="C1:C38"/>
    <sortCondition ref="F1:F38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</vt:lpstr>
      <vt:lpstr>2018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2017-03-14T08:00:00Z</cp:lastPrinted>
  <dcterms:modified xsi:type="dcterms:W3CDTF">2017-03-17T08:45:02Z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